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2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ONCO'!$A$1:$I$41</definedName>
    <definedName name="_xlnm.Print_Area" localSheetId="11">'CV UNICE'!$A$1:$I$41</definedName>
  </definedNames>
  <calcPr fullCalcOnLoad="1"/>
</workbook>
</file>

<file path=xl/sharedStrings.xml><?xml version="1.0" encoding="utf-8"?>
<sst xmlns="http://schemas.openxmlformats.org/spreadsheetml/2006/main" count="550" uniqueCount="93">
  <si>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</si>
  <si>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</si>
  <si>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</si>
  <si>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</si>
  <si>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</si>
  <si>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</si>
  <si>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</si>
  <si>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</si>
  <si>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</si>
  <si>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</si>
  <si>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</si>
  <si>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</si>
  <si>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</si>
  <si>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</si>
  <si>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</si>
  <si>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</si>
  <si>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</si>
  <si>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</si>
  <si>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</si>
  <si>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</si>
  <si>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</si>
  <si>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</si>
  <si>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</si>
  <si>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</si>
  <si>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</si>
  <si>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</si>
  <si>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</si>
  <si>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</si>
  <si>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</si>
  <si>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</si>
  <si>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</si>
  <si>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</si>
  <si>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</si>
  <si>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</si>
  <si>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</si>
  <si>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</si>
  <si>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</si>
  <si>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</si>
  <si>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</si>
  <si>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</si>
  <si>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</si>
  <si>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</si>
  <si>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</si>
  <si>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</si>
  <si>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</si>
  <si>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</si>
  <si>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</si>
  <si>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</si>
  <si>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</si>
  <si>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</si>
  <si>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</si>
  <si>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</si>
  <si>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</si>
  <si>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</si>
  <si>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</si>
  <si>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</si>
  <si>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</si>
  <si>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</si>
  <si>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</si>
  <si>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</si>
  <si>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</si>
  <si>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</si>
  <si>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</si>
  <si>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</si>
  <si>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</si>
  <si>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</si>
  <si>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</si>
  <si>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</si>
  <si>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</si>
  <si>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</si>
  <si>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</si>
  <si>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</si>
  <si>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</si>
  <si>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</si>
  <si>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</si>
  <si>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</si>
  <si>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</si>
  <si>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</si>
  <si>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</si>
  <si>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SITUATIA CONSUMULUI DE MEDIC. PENTRU UNICE COST VOLUM   LUNA OCTOMBRIE 2020</t>
  </si>
  <si>
    <t>G22</t>
  </si>
  <si>
    <t>SITUATIA CONSUMULUI DE MEDICAMENTE IN LUNA OCTOMBRIE 2020</t>
  </si>
  <si>
    <t>SITUATIA CONSUMULUI DE MEDICAMENTE PENTRU PENSIONARI CU PENSII&lt;= 1299 LEI OCTOMBRIE 2020</t>
  </si>
  <si>
    <t>SITUATIA CONSUMULUI DE MEDICAMENTE COST VOLUM PENTRU PENSIONARI  PANA LA 1299 LEI OCTOMBRIE 2020</t>
  </si>
  <si>
    <t>SITUATIA CONSUMULUI DE MEDICAMENTE PENTRU INSULINE LUNA OCTOMBRIE 2020</t>
  </si>
  <si>
    <t>SITUATIA CONSUMULUI DE MEDICAMENTE LA  DIABET SI INSULINE OCTOMBRIE 2020</t>
  </si>
  <si>
    <t>SITUATIA CONSUMULUI LA TESTE PENTRU LUNA OCTOMBRIE 2020</t>
  </si>
  <si>
    <t>SITUATIA CONSUMULUI DE MEDICAMENTE PENTRU ONCOLOGIE  LUNA OCTOMBRIE 2020</t>
  </si>
  <si>
    <t>SITUATIA CONSUMULUI DE MEDICAMENTE PENTRU DIABET   LUNA OCTOMBRIE 2020</t>
  </si>
  <si>
    <t>SITUATIA CONSUMULUI DE MEDICAMENTE PENTRU PNS COST VOLUM   LUNA OCTOMBRIE 2020</t>
  </si>
  <si>
    <t>SITUATIA CONSUMULUI DE MEDICAMENTE LA STARI POSTTRANSPLANT OCTOMBRIE 2020</t>
  </si>
  <si>
    <t>SITUATIA CONSUMULUI DE MEDICAMENTE PENTRU SCLEROZA   LUNA OCTOMBRIE 2020</t>
  </si>
  <si>
    <t>SITUATIA CONSUMULUI DE MEDICAMENTE LA STARI MUCOVISCIDOZA OCTOMBRIE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</si>
</sst>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workbookViewId="0" topLeftCell="G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81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33888.49+7535.46+4447.23+3414.81</f>
        <v>49285.98999999999</v>
      </c>
      <c r="D5" s="25">
        <f>38748.3+6358.95+3677.3+3081.15</f>
        <v>51865.700000000004</v>
      </c>
      <c r="E5" s="25">
        <f>52194.66+4141.12+4912.11+1699.28</f>
        <v>62947.170000000006</v>
      </c>
      <c r="F5" s="25">
        <f>1623.57+466.47+271.62+877.65</f>
        <v>3239.31</v>
      </c>
      <c r="G5" s="25">
        <f>4754.56+274.06+423.43+412.96</f>
        <v>5865.010000000001</v>
      </c>
      <c r="H5" s="26">
        <v>491.69</v>
      </c>
      <c r="I5" s="25"/>
      <c r="J5" s="25"/>
      <c r="K5" s="25">
        <v>2262.5</v>
      </c>
      <c r="L5" s="25">
        <v>21051.33</v>
      </c>
      <c r="M5" s="25"/>
      <c r="N5" s="25">
        <v>5046.03</v>
      </c>
      <c r="O5" s="25"/>
      <c r="P5" s="25">
        <v>12354.57</v>
      </c>
      <c r="Q5" s="57">
        <f>H5+I5+J5+K5+L5+M5+N5+O5+P5</f>
        <v>41206.119999999995</v>
      </c>
      <c r="R5" s="58">
        <f aca="true" t="shared" si="0" ref="R5:R39">C5+D5+E5+F5+G5+H5+I5+J5+K5+L5+M5+N5+O5+P5</f>
        <v>214409.30000000002</v>
      </c>
      <c r="S5" s="59">
        <f>R5-Q5</f>
        <v>173203.18000000002</v>
      </c>
      <c r="U5" s="62"/>
    </row>
    <row r="6" spans="1:21" ht="15.75">
      <c r="A6" s="55">
        <v>2</v>
      </c>
      <c r="B6" s="56" t="s">
        <v>7</v>
      </c>
      <c r="C6" s="25">
        <f>8377.81+7611.41</f>
        <v>15989.22</v>
      </c>
      <c r="D6" s="25">
        <f>10289.52+7854.43</f>
        <v>18143.95</v>
      </c>
      <c r="E6" s="25">
        <f>1403.47+5764.17</f>
        <v>7167.64</v>
      </c>
      <c r="F6" s="25">
        <f>698.41+248.38</f>
        <v>946.79</v>
      </c>
      <c r="G6" s="25">
        <f>1379.93+780.29</f>
        <v>2160.2200000000003</v>
      </c>
      <c r="H6" s="26"/>
      <c r="I6" s="25"/>
      <c r="J6" s="25"/>
      <c r="K6" s="25"/>
      <c r="L6" s="25">
        <f>3315+3639.27</f>
        <v>6954.27</v>
      </c>
      <c r="M6" s="25"/>
      <c r="N6" s="25">
        <v>2783.53</v>
      </c>
      <c r="O6" s="25"/>
      <c r="P6" s="25"/>
      <c r="Q6" s="57">
        <f aca="true" t="shared" si="1" ref="Q6:Q39">H6+I6+J6+K6+L6+M6+N6+O6+P6</f>
        <v>9737.800000000001</v>
      </c>
      <c r="R6" s="58">
        <f t="shared" si="0"/>
        <v>54145.619999999995</v>
      </c>
      <c r="S6" s="59">
        <f aca="true" t="shared" si="2" ref="S6:S39">R6-Q6</f>
        <v>44407.81999999999</v>
      </c>
      <c r="U6" s="62"/>
    </row>
    <row r="7" spans="1:21" ht="15.75">
      <c r="A7" s="55">
        <v>3</v>
      </c>
      <c r="B7" s="56" t="s">
        <v>8</v>
      </c>
      <c r="C7" s="25">
        <f>7950.78+3293.88+4198.08+8204.77</f>
        <v>23647.510000000002</v>
      </c>
      <c r="D7" s="25">
        <f>8419.12+2267.04+5462.47+7112.75</f>
        <v>23261.38</v>
      </c>
      <c r="E7" s="25">
        <f>3483.09+577.19+3228.34+7235.02</f>
        <v>14523.640000000001</v>
      </c>
      <c r="F7" s="25">
        <f>1550.01+399.48+805.99+1702.51</f>
        <v>4457.99</v>
      </c>
      <c r="G7" s="25">
        <f>995.75+187.25+395.2+1001.5</f>
        <v>2579.7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68470.22</v>
      </c>
      <c r="S7" s="59">
        <f t="shared" si="2"/>
        <v>68470.22</v>
      </c>
      <c r="U7" s="62"/>
    </row>
    <row r="8" spans="1:21" ht="15.75">
      <c r="A8" s="55">
        <v>4</v>
      </c>
      <c r="B8" s="56" t="s">
        <v>9</v>
      </c>
      <c r="C8" s="25">
        <f>6380.91+9164.14+4492.09</f>
        <v>20037.14</v>
      </c>
      <c r="D8" s="25">
        <f>6032.12+8317.77+4936.34</f>
        <v>19286.23</v>
      </c>
      <c r="E8" s="25">
        <f>4135.52+4617.98+2564.64</f>
        <v>11318.14</v>
      </c>
      <c r="F8" s="25">
        <f>576.03+178.8+137.8</f>
        <v>892.6299999999999</v>
      </c>
      <c r="G8" s="25">
        <f>1347.16+1092.16+582.31</f>
        <v>3021.63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54555.76999999999</v>
      </c>
      <c r="S8" s="59">
        <f t="shared" si="2"/>
        <v>54555.76999999999</v>
      </c>
      <c r="U8" s="62"/>
    </row>
    <row r="9" spans="1:21" ht="15.75">
      <c r="A9" s="55">
        <v>5</v>
      </c>
      <c r="B9" s="56" t="s">
        <v>10</v>
      </c>
      <c r="C9" s="25">
        <f>36248.97+1700.85</f>
        <v>37949.82</v>
      </c>
      <c r="D9" s="25">
        <f>28431.39+813.37</f>
        <v>29244.76</v>
      </c>
      <c r="E9" s="25">
        <f>27416.96+290.55</f>
        <v>27707.51</v>
      </c>
      <c r="F9" s="26">
        <f>1279.93+7.4</f>
        <v>1287.3300000000002</v>
      </c>
      <c r="G9" s="25">
        <f>3037.97+99.23</f>
        <v>3137.2</v>
      </c>
      <c r="H9" s="26"/>
      <c r="J9" s="25"/>
      <c r="K9" s="25"/>
      <c r="L9" s="25">
        <v>2262.5</v>
      </c>
      <c r="M9" s="25"/>
      <c r="N9" s="25"/>
      <c r="O9" s="25"/>
      <c r="P9" s="25"/>
      <c r="Q9" s="57">
        <f t="shared" si="1"/>
        <v>2262.5</v>
      </c>
      <c r="R9" s="58">
        <f t="shared" si="0"/>
        <v>101589.12</v>
      </c>
      <c r="S9" s="59">
        <f t="shared" si="2"/>
        <v>99326.62</v>
      </c>
      <c r="U9" s="62"/>
    </row>
    <row r="10" spans="1:23" ht="15.75">
      <c r="A10" s="55">
        <v>6</v>
      </c>
      <c r="B10" s="56" t="s">
        <v>11</v>
      </c>
      <c r="C10" s="25">
        <f>18339.05+14954.41+5651.6+9335.63+15365.45</f>
        <v>63646.14</v>
      </c>
      <c r="D10" s="25">
        <f>22019.13+16800.7+6248.1+6886.66+22216.42</f>
        <v>74171.01</v>
      </c>
      <c r="E10" s="25">
        <f>31750.55+15418.05+4811.71+4935.91+67947.85</f>
        <v>124864.07</v>
      </c>
      <c r="F10" s="25">
        <f>853.51+2016.27+242.63+759.2+3349.39</f>
        <v>7221</v>
      </c>
      <c r="G10" s="25">
        <f>2148.41+1807.59+439.33+865.9+1770.82</f>
        <v>7032.049999999999</v>
      </c>
      <c r="H10" s="26">
        <v>904.51</v>
      </c>
      <c r="I10" s="25"/>
      <c r="J10" s="25"/>
      <c r="K10" s="25"/>
      <c r="L10" s="25">
        <f>3315+8875.15+6557.12</f>
        <v>18747.27</v>
      </c>
      <c r="M10" s="25">
        <f>1131.25</f>
        <v>1131.25</v>
      </c>
      <c r="N10" s="25">
        <f>9836.88+2262.5</f>
        <v>12099.38</v>
      </c>
      <c r="O10" s="25"/>
      <c r="P10" s="25">
        <v>5032.62</v>
      </c>
      <c r="Q10" s="57">
        <f t="shared" si="1"/>
        <v>37915.03</v>
      </c>
      <c r="R10" s="58">
        <f t="shared" si="0"/>
        <v>314849.3</v>
      </c>
      <c r="S10" s="59">
        <f t="shared" si="2"/>
        <v>276934.27</v>
      </c>
      <c r="U10" s="62"/>
      <c r="W10" s="72"/>
    </row>
    <row r="11" spans="1:21" ht="15.75">
      <c r="A11" s="55">
        <v>7</v>
      </c>
      <c r="B11" s="56" t="s">
        <v>59</v>
      </c>
      <c r="C11" s="25">
        <f>17084.38+14908.5+9907+7278.47+8456.93+2127.67+5849.75</f>
        <v>65612.70000000001</v>
      </c>
      <c r="D11" s="25">
        <f>25474.04+15133.91+10728.49+8923.91+12638.14+1230.4+5302.91</f>
        <v>79431.79999999999</v>
      </c>
      <c r="E11" s="25">
        <f>19234.32+14265.04+3338.37+6036.69+7497.03+558.73+5961.67</f>
        <v>56891.850000000006</v>
      </c>
      <c r="F11" s="25">
        <f>1144.14+1213.81+1086.26+621.16+1160.53+70.61+1091.58</f>
        <v>6388.089999999999</v>
      </c>
      <c r="G11" s="25">
        <f>2910.99+1321.77+940.62+1225.58+1675.16+342.8+359.28</f>
        <v>8776.2</v>
      </c>
      <c r="H11" s="26">
        <v>491.69</v>
      </c>
      <c r="I11" s="25"/>
      <c r="J11" s="25"/>
      <c r="K11" s="25">
        <f>2262.5+4525.01</f>
        <v>6787.51</v>
      </c>
      <c r="L11" s="25"/>
      <c r="M11" s="25"/>
      <c r="N11" s="25">
        <v>2262.5</v>
      </c>
      <c r="O11" s="25"/>
      <c r="P11" s="25"/>
      <c r="Q11" s="57">
        <f t="shared" si="1"/>
        <v>9541.7</v>
      </c>
      <c r="R11" s="58">
        <f t="shared" si="0"/>
        <v>226642.34000000003</v>
      </c>
      <c r="S11" s="59">
        <f t="shared" si="2"/>
        <v>217100.64</v>
      </c>
      <c r="U11" s="62"/>
    </row>
    <row r="12" spans="1:21" ht="15.75">
      <c r="A12" s="55">
        <v>8</v>
      </c>
      <c r="B12" s="56" t="s">
        <v>12</v>
      </c>
      <c r="C12" s="25">
        <v>11458.63</v>
      </c>
      <c r="D12" s="25">
        <v>26902.79</v>
      </c>
      <c r="E12" s="25">
        <v>40021.97</v>
      </c>
      <c r="F12" s="25">
        <v>865.1</v>
      </c>
      <c r="G12" s="25">
        <v>1393.26</v>
      </c>
      <c r="H12" s="26">
        <v>1966.73</v>
      </c>
      <c r="I12" s="25"/>
      <c r="J12" s="25">
        <v>3404.54</v>
      </c>
      <c r="K12" s="25"/>
      <c r="L12" s="25">
        <v>10539.56</v>
      </c>
      <c r="M12" s="25"/>
      <c r="N12" s="25">
        <v>8717.65</v>
      </c>
      <c r="O12" s="25"/>
      <c r="P12" s="25"/>
      <c r="Q12" s="57">
        <f t="shared" si="1"/>
        <v>24628.48</v>
      </c>
      <c r="R12" s="58">
        <f t="shared" si="0"/>
        <v>105270.22999999998</v>
      </c>
      <c r="S12" s="59">
        <f t="shared" si="2"/>
        <v>80641.74999999999</v>
      </c>
      <c r="U12" s="62"/>
    </row>
    <row r="13" spans="1:21" ht="15.75">
      <c r="A13" s="55">
        <v>9</v>
      </c>
      <c r="B13" s="56" t="s">
        <v>13</v>
      </c>
      <c r="C13" s="25">
        <f>7912.96+1510.06+10632.65</f>
        <v>20055.67</v>
      </c>
      <c r="D13" s="27">
        <f>11020.01+1871.2+13442.59</f>
        <v>26333.800000000003</v>
      </c>
      <c r="E13" s="25">
        <f>12870.32+642.99+6247.7</f>
        <v>19761.01</v>
      </c>
      <c r="F13" s="25">
        <f>542.65+200.09+900.54</f>
        <v>1643.28</v>
      </c>
      <c r="G13" s="25">
        <f>1298.29+96.07+1943.65</f>
        <v>3338.01</v>
      </c>
      <c r="H13" s="26"/>
      <c r="I13" s="25"/>
      <c r="J13" s="25"/>
      <c r="K13" s="25"/>
      <c r="L13" s="25"/>
      <c r="M13" s="25"/>
      <c r="N13" s="25"/>
      <c r="O13" s="25"/>
      <c r="P13" s="25"/>
      <c r="Q13" s="57">
        <f t="shared" si="1"/>
        <v>0</v>
      </c>
      <c r="R13" s="58">
        <f t="shared" si="0"/>
        <v>71131.76999999999</v>
      </c>
      <c r="S13" s="59">
        <f t="shared" si="2"/>
        <v>71131.76999999999</v>
      </c>
      <c r="U13" s="62"/>
    </row>
    <row r="14" spans="1:21" ht="15.75">
      <c r="A14" s="55">
        <v>10</v>
      </c>
      <c r="B14" s="56" t="s">
        <v>14</v>
      </c>
      <c r="C14" s="25">
        <f>20810.92+18110.75+23892.73</f>
        <v>62814.399999999994</v>
      </c>
      <c r="D14" s="25">
        <f>26645.08+19137.82+33501.04</f>
        <v>79283.94</v>
      </c>
      <c r="E14" s="25">
        <f>11729.09+9869.81+16565.37</f>
        <v>38164.270000000004</v>
      </c>
      <c r="F14" s="25">
        <f>1911.12+1309.98+2647.13</f>
        <v>5868.23</v>
      </c>
      <c r="G14" s="25">
        <f>2932.53+2122.83+3133.24</f>
        <v>8188.6</v>
      </c>
      <c r="H14" s="26">
        <v>163.9</v>
      </c>
      <c r="I14" s="25"/>
      <c r="J14" s="25"/>
      <c r="K14" s="25"/>
      <c r="L14" s="25">
        <f>2783.53+2262.5+7829.56</f>
        <v>12875.59</v>
      </c>
      <c r="M14" s="25">
        <v>1131.25</v>
      </c>
      <c r="N14" s="25">
        <f>9571.04+7308.53</f>
        <v>16879.57</v>
      </c>
      <c r="O14" s="25">
        <v>1843.14</v>
      </c>
      <c r="P14" s="25"/>
      <c r="Q14" s="57">
        <f t="shared" si="1"/>
        <v>32893.45</v>
      </c>
      <c r="R14" s="58">
        <f t="shared" si="0"/>
        <v>227212.89</v>
      </c>
      <c r="S14" s="59">
        <f t="shared" si="2"/>
        <v>194319.44</v>
      </c>
      <c r="U14" s="62"/>
    </row>
    <row r="15" spans="1:21" ht="15.75">
      <c r="A15" s="55">
        <v>11</v>
      </c>
      <c r="B15" s="56" t="s">
        <v>15</v>
      </c>
      <c r="C15" s="25">
        <v>30588.13</v>
      </c>
      <c r="D15" s="25">
        <v>38094.53</v>
      </c>
      <c r="E15" s="25">
        <v>26238.92</v>
      </c>
      <c r="F15" s="25">
        <v>3361.49</v>
      </c>
      <c r="G15" s="25">
        <v>3736.56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102019.63</v>
      </c>
      <c r="S15" s="59">
        <f t="shared" si="2"/>
        <v>102019.63</v>
      </c>
      <c r="U15" s="62"/>
    </row>
    <row r="16" spans="1:22" ht="15.75">
      <c r="A16" s="55">
        <v>12</v>
      </c>
      <c r="B16" s="56" t="s">
        <v>16</v>
      </c>
      <c r="C16" s="25">
        <v>21961.42</v>
      </c>
      <c r="D16" s="25">
        <v>15122.32</v>
      </c>
      <c r="E16" s="25">
        <v>6446.24</v>
      </c>
      <c r="F16" s="25">
        <v>2012.62</v>
      </c>
      <c r="G16" s="25">
        <v>2182.27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47724.869999999995</v>
      </c>
      <c r="S16" s="59">
        <f t="shared" si="2"/>
        <v>47724.869999999995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40284.36+14156.84+6357.02</f>
        <v>60798.22</v>
      </c>
      <c r="D17" s="25">
        <f>32858.28+11841.76+5262.85</f>
        <v>49962.89</v>
      </c>
      <c r="E17" s="25">
        <f>20906.13+11447.23+6577.99</f>
        <v>38931.35</v>
      </c>
      <c r="F17" s="25">
        <f>10885.41+1443.75+95.01</f>
        <v>12424.17</v>
      </c>
      <c r="G17" s="25">
        <f>3224.37+946.24+522.15</f>
        <v>4692.759999999999</v>
      </c>
      <c r="H17" s="26"/>
      <c r="I17" s="25"/>
      <c r="J17" s="25">
        <v>3403.62</v>
      </c>
      <c r="K17" s="25"/>
      <c r="L17" s="25">
        <v>2262.5</v>
      </c>
      <c r="M17" s="25"/>
      <c r="N17" s="25"/>
      <c r="O17" s="25"/>
      <c r="P17" s="25"/>
      <c r="Q17" s="57">
        <f t="shared" si="1"/>
        <v>5666.12</v>
      </c>
      <c r="R17" s="58">
        <f t="shared" si="0"/>
        <v>172475.51</v>
      </c>
      <c r="S17" s="59">
        <f t="shared" si="2"/>
        <v>166809.39</v>
      </c>
      <c r="U17" s="62"/>
    </row>
    <row r="18" spans="1:21" ht="15.75">
      <c r="A18" s="55">
        <v>14</v>
      </c>
      <c r="B18" s="56" t="s">
        <v>18</v>
      </c>
      <c r="C18" s="25">
        <f>12566.3+4040.03</f>
        <v>16606.329999999998</v>
      </c>
      <c r="D18" s="25">
        <f>14180.86+3565.41</f>
        <v>17746.27</v>
      </c>
      <c r="E18" s="25">
        <f>4302.13+2384.02</f>
        <v>6686.15</v>
      </c>
      <c r="F18" s="25">
        <f>1999.25+580.45</f>
        <v>2579.7</v>
      </c>
      <c r="G18" s="25">
        <f>1950.47+611.88</f>
        <v>2562.35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46180.799999999996</v>
      </c>
      <c r="S18" s="59">
        <f t="shared" si="2"/>
        <v>46180.799999999996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3050.18+4478.39+1795.05+4777.65</f>
        <v>14101.269999999999</v>
      </c>
      <c r="D20" s="25">
        <f>4551.15+4790.7+1640.42+4164.62</f>
        <v>15146.89</v>
      </c>
      <c r="E20" s="25">
        <f>1627+671.15+1035.8+2377.14</f>
        <v>5711.09</v>
      </c>
      <c r="F20" s="25">
        <f>252.38+943.13+285.83+866.58</f>
        <v>2347.92</v>
      </c>
      <c r="G20" s="25">
        <f>702.62+523.6+301.98+389.88</f>
        <v>1918.08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39225.25</v>
      </c>
      <c r="S20" s="59">
        <f t="shared" si="2"/>
        <v>39225.25</v>
      </c>
      <c r="U20" s="62"/>
    </row>
    <row r="21" spans="1:21" ht="15.75">
      <c r="A21" s="55">
        <v>17</v>
      </c>
      <c r="B21" s="56" t="s">
        <v>21</v>
      </c>
      <c r="C21" s="25">
        <v>18409.09</v>
      </c>
      <c r="D21" s="25">
        <v>18578.97</v>
      </c>
      <c r="E21" s="25">
        <v>8271.77</v>
      </c>
      <c r="F21" s="25">
        <v>1005.19</v>
      </c>
      <c r="G21" s="25">
        <v>2860.35</v>
      </c>
      <c r="H21" s="26">
        <v>819.43</v>
      </c>
      <c r="I21" s="25"/>
      <c r="J21" s="25"/>
      <c r="K21" s="25"/>
      <c r="L21" s="25"/>
      <c r="M21" s="25"/>
      <c r="N21" s="25">
        <v>3787.19</v>
      </c>
      <c r="O21" s="25"/>
      <c r="P21" s="25"/>
      <c r="Q21" s="57">
        <f t="shared" si="1"/>
        <v>4606.62</v>
      </c>
      <c r="R21" s="58">
        <f t="shared" si="0"/>
        <v>53731.990000000005</v>
      </c>
      <c r="S21" s="59">
        <f t="shared" si="2"/>
        <v>49125.37</v>
      </c>
      <c r="U21" s="62"/>
    </row>
    <row r="22" spans="1:21" ht="15.75">
      <c r="A22" s="55">
        <v>18</v>
      </c>
      <c r="B22" s="56" t="s">
        <v>22</v>
      </c>
      <c r="C22" s="25">
        <f>17311.43+5852.72+18085.84+3391.41+5242.96+3364.68</f>
        <v>53249.04000000001</v>
      </c>
      <c r="D22" s="25">
        <f>26169.22+5395.82+18346.6+3498.93+3010.77+5397.46</f>
        <v>61818.799999999996</v>
      </c>
      <c r="E22" s="25">
        <f>20872.08+2708.96+21529.94+463.28+342.85+1857.62</f>
        <v>47774.729999999996</v>
      </c>
      <c r="F22" s="25">
        <f>2067.75+1244.57+632.9+195.48+7058.05+558.71</f>
        <v>11757.46</v>
      </c>
      <c r="G22" s="25">
        <f>3918.53+382.63+2201.91+429.36+401.15+343.13</f>
        <v>7676.709999999999</v>
      </c>
      <c r="H22" s="26">
        <v>655.6</v>
      </c>
      <c r="I22" s="25"/>
      <c r="J22" s="25"/>
      <c r="K22" s="25"/>
      <c r="L22" s="25">
        <v>2783.53</v>
      </c>
      <c r="M22" s="25"/>
      <c r="N22" s="25"/>
      <c r="O22" s="25"/>
      <c r="P22" s="25"/>
      <c r="Q22" s="57">
        <f t="shared" si="1"/>
        <v>3439.13</v>
      </c>
      <c r="R22" s="58">
        <f t="shared" si="0"/>
        <v>185715.87</v>
      </c>
      <c r="S22" s="59">
        <f t="shared" si="2"/>
        <v>182276.74</v>
      </c>
      <c r="U22" s="62"/>
    </row>
    <row r="23" spans="1:21" ht="15.75">
      <c r="A23" s="55">
        <v>19</v>
      </c>
      <c r="B23" s="56" t="s">
        <v>23</v>
      </c>
      <c r="C23" s="25">
        <v>5059.38</v>
      </c>
      <c r="D23" s="25">
        <v>3748.29</v>
      </c>
      <c r="E23" s="25">
        <v>2094.61</v>
      </c>
      <c r="F23" s="25">
        <v>225</v>
      </c>
      <c r="G23" s="25">
        <v>425.52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11552.800000000001</v>
      </c>
      <c r="S23" s="59">
        <f t="shared" si="2"/>
        <v>11552.800000000001</v>
      </c>
      <c r="U23" s="62"/>
    </row>
    <row r="24" spans="1:21" ht="15.75">
      <c r="A24" s="55">
        <v>20</v>
      </c>
      <c r="B24" s="56" t="s">
        <v>24</v>
      </c>
      <c r="C24" s="25">
        <f>4159.01+3780.64</f>
        <v>7939.65</v>
      </c>
      <c r="D24" s="25">
        <f>3266.33+5545.31</f>
        <v>8811.64</v>
      </c>
      <c r="E24" s="25">
        <f>1378.83+4694.98</f>
        <v>6073.8099999999995</v>
      </c>
      <c r="F24" s="25">
        <f>1132.39+214.96</f>
        <v>1347.3500000000001</v>
      </c>
      <c r="G24" s="25">
        <f>201.36+879.88</f>
        <v>1081.24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25253.69</v>
      </c>
      <c r="S24" s="59">
        <f t="shared" si="2"/>
        <v>25253.69</v>
      </c>
      <c r="U24" s="62"/>
    </row>
    <row r="25" spans="1:21" ht="15.75">
      <c r="A25" s="55">
        <v>21</v>
      </c>
      <c r="B25" s="56" t="s">
        <v>25</v>
      </c>
      <c r="C25" s="25">
        <f>6654.95+7904.08+13862.28+5205.66</f>
        <v>33626.97</v>
      </c>
      <c r="D25" s="25">
        <f>8622.43+13406.66+19495.55+5756.29</f>
        <v>47280.93</v>
      </c>
      <c r="E25" s="25">
        <f>2155.8+8216.65+22291.58+1839.3</f>
        <v>34503.33</v>
      </c>
      <c r="F25" s="25">
        <f>1028.06+228.55+806.16+1079.44</f>
        <v>3142.21</v>
      </c>
      <c r="G25" s="25">
        <f>517.12+1335.69+1495.08+385.89</f>
        <v>3733.7799999999997</v>
      </c>
      <c r="H25" s="25">
        <v>412.81</v>
      </c>
      <c r="I25" s="25"/>
      <c r="J25" s="25">
        <v>1747.3</v>
      </c>
      <c r="K25" s="25"/>
      <c r="L25" s="25">
        <f>12883.86+84572.72+4294.62</f>
        <v>101751.2</v>
      </c>
      <c r="M25" s="25">
        <v>2262.5</v>
      </c>
      <c r="N25" s="25">
        <v>3393.75</v>
      </c>
      <c r="O25" s="25"/>
      <c r="P25" s="25">
        <v>15837.5</v>
      </c>
      <c r="Q25" s="57">
        <f t="shared" si="1"/>
        <v>125405.06</v>
      </c>
      <c r="R25" s="58">
        <f t="shared" si="0"/>
        <v>247692.28</v>
      </c>
      <c r="S25" s="59">
        <f t="shared" si="2"/>
        <v>122287.22</v>
      </c>
      <c r="U25" s="62"/>
    </row>
    <row r="26" spans="1:21" ht="15.75">
      <c r="A26" s="55">
        <v>22</v>
      </c>
      <c r="B26" s="56" t="s">
        <v>26</v>
      </c>
      <c r="C26" s="25">
        <v>5062.81</v>
      </c>
      <c r="D26" s="25">
        <v>5389.74</v>
      </c>
      <c r="E26" s="25">
        <v>3609.56</v>
      </c>
      <c r="F26" s="25">
        <v>105.35</v>
      </c>
      <c r="G26" s="25">
        <v>677.79</v>
      </c>
      <c r="H26" s="26"/>
      <c r="I26" s="25"/>
      <c r="J26" s="25"/>
      <c r="K26" s="25"/>
      <c r="L26" s="25"/>
      <c r="M26" s="25"/>
      <c r="N26" s="25"/>
      <c r="O26" s="25"/>
      <c r="P26" s="25"/>
      <c r="Q26" s="57">
        <f t="shared" si="1"/>
        <v>0</v>
      </c>
      <c r="R26" s="58">
        <f t="shared" si="0"/>
        <v>14845.25</v>
      </c>
      <c r="S26" s="59">
        <f t="shared" si="2"/>
        <v>14845.25</v>
      </c>
      <c r="U26" s="62"/>
    </row>
    <row r="27" spans="1:21" ht="15.75">
      <c r="A27" s="55">
        <v>23</v>
      </c>
      <c r="B27" s="56" t="s">
        <v>27</v>
      </c>
      <c r="C27" s="25">
        <f>8867.99+6383</f>
        <v>15250.99</v>
      </c>
      <c r="D27" s="25">
        <f>10348.67+4713.47</f>
        <v>15062.14</v>
      </c>
      <c r="E27" s="25">
        <f>3950.98+1143.25</f>
        <v>5094.23</v>
      </c>
      <c r="F27" s="25">
        <f>659.35+1683.96</f>
        <v>2343.31</v>
      </c>
      <c r="G27" s="25">
        <f>1062.06+758.58</f>
        <v>1820.6399999999999</v>
      </c>
      <c r="H27" s="26"/>
      <c r="I27" s="25"/>
      <c r="J27" s="25"/>
      <c r="K27" s="25"/>
      <c r="L27" s="25">
        <v>3315</v>
      </c>
      <c r="M27" s="25"/>
      <c r="N27" s="25"/>
      <c r="O27" s="25">
        <v>1170.2</v>
      </c>
      <c r="P27" s="25"/>
      <c r="Q27" s="57">
        <f t="shared" si="1"/>
        <v>4485.2</v>
      </c>
      <c r="R27" s="58">
        <f t="shared" si="0"/>
        <v>44056.509999999995</v>
      </c>
      <c r="S27" s="59">
        <f t="shared" si="2"/>
        <v>39571.31</v>
      </c>
      <c r="U27" s="62"/>
    </row>
    <row r="28" spans="1:21" ht="15.75">
      <c r="A28" s="55">
        <v>24</v>
      </c>
      <c r="B28" s="56" t="s">
        <v>28</v>
      </c>
      <c r="C28" s="25">
        <f>7273.14+3492</f>
        <v>10765.14</v>
      </c>
      <c r="D28" s="25">
        <f>6595.94+3332.18</f>
        <v>9928.119999999999</v>
      </c>
      <c r="E28" s="25">
        <f>6843.09+5816.77</f>
        <v>12659.86</v>
      </c>
      <c r="F28" s="25">
        <f>866.25+68.89</f>
        <v>935.14</v>
      </c>
      <c r="G28" s="25">
        <f>507.37+225.45</f>
        <v>732.8199999999999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35021.079999999994</v>
      </c>
      <c r="S28" s="59">
        <f t="shared" si="2"/>
        <v>35021.079999999994</v>
      </c>
      <c r="U28" s="62"/>
    </row>
    <row r="29" spans="1:21" ht="15.75">
      <c r="A29" s="55">
        <v>25</v>
      </c>
      <c r="B29" s="56" t="s">
        <v>29</v>
      </c>
      <c r="C29" s="25">
        <f>17797.97+15729.71+22335.25</f>
        <v>55862.93</v>
      </c>
      <c r="D29" s="25">
        <f>28979.54+25560.83+18724.19</f>
        <v>73264.56</v>
      </c>
      <c r="E29" s="25">
        <f>13586.01+8232.76+8103.69</f>
        <v>29922.46</v>
      </c>
      <c r="F29" s="25">
        <f>1410.59+1487.11+682.77</f>
        <v>3580.47</v>
      </c>
      <c r="G29" s="25">
        <f>3263.33+2139.48+2901.8</f>
        <v>8304.61</v>
      </c>
      <c r="H29" s="26"/>
      <c r="I29" s="25"/>
      <c r="J29" s="25"/>
      <c r="K29" s="25"/>
      <c r="L29" s="25"/>
      <c r="M29" s="25">
        <v>2262.5</v>
      </c>
      <c r="N29" s="25"/>
      <c r="O29" s="25"/>
      <c r="P29" s="25"/>
      <c r="Q29" s="57">
        <f t="shared" si="1"/>
        <v>2262.5</v>
      </c>
      <c r="R29" s="58">
        <f t="shared" si="0"/>
        <v>173197.52999999997</v>
      </c>
      <c r="S29" s="59">
        <f t="shared" si="2"/>
        <v>170935.02999999997</v>
      </c>
      <c r="U29" s="62"/>
    </row>
    <row r="30" spans="1:21" ht="15.75">
      <c r="A30" s="55">
        <v>26</v>
      </c>
      <c r="B30" s="56" t="s">
        <v>30</v>
      </c>
      <c r="C30" s="25">
        <f>35149.31+4306.3</f>
        <v>39455.61</v>
      </c>
      <c r="D30" s="25">
        <f>38189.08+3169.12</f>
        <v>41358.200000000004</v>
      </c>
      <c r="E30" s="25">
        <f>14977.65+799.41</f>
        <v>15777.06</v>
      </c>
      <c r="F30" s="25">
        <f>5187.37+781.01</f>
        <v>5968.38</v>
      </c>
      <c r="G30" s="25">
        <f>4841.43+519.37</f>
        <v>5360.8</v>
      </c>
      <c r="H30" s="26">
        <v>163.9</v>
      </c>
      <c r="I30" s="25"/>
      <c r="J30" s="25"/>
      <c r="K30" s="25">
        <v>4525.01</v>
      </c>
      <c r="L30" s="25">
        <v>2783.53</v>
      </c>
      <c r="M30" s="25"/>
      <c r="N30" s="25">
        <v>4525</v>
      </c>
      <c r="O30" s="25"/>
      <c r="P30" s="25"/>
      <c r="Q30" s="57">
        <f t="shared" si="1"/>
        <v>11997.44</v>
      </c>
      <c r="R30" s="58">
        <f t="shared" si="0"/>
        <v>119917.48999999999</v>
      </c>
      <c r="S30" s="59">
        <f t="shared" si="2"/>
        <v>107920.04999999999</v>
      </c>
      <c r="U30" s="62"/>
    </row>
    <row r="31" spans="1:21" ht="15.75">
      <c r="A31" s="55">
        <v>27</v>
      </c>
      <c r="B31" s="56" t="s">
        <v>40</v>
      </c>
      <c r="C31" s="25">
        <v>3993.9</v>
      </c>
      <c r="D31" s="25">
        <v>2464.11</v>
      </c>
      <c r="E31" s="25">
        <v>2557.74</v>
      </c>
      <c r="F31" s="25">
        <v>310.81</v>
      </c>
      <c r="G31" s="25">
        <v>246.3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9572.859999999999</v>
      </c>
      <c r="S31" s="59">
        <f t="shared" si="2"/>
        <v>9572.859999999999</v>
      </c>
      <c r="U31" s="62"/>
    </row>
    <row r="32" spans="1:21" ht="15.75">
      <c r="A32" s="55">
        <v>28</v>
      </c>
      <c r="B32" s="56" t="s">
        <v>41</v>
      </c>
      <c r="C32" s="25">
        <f>12757.42+2078.66+3383.27+4054.68+3099.19</f>
        <v>25373.219999999998</v>
      </c>
      <c r="D32" s="25">
        <f>10493.68+1337.48+3199.63+4034.74+2173.73</f>
        <v>21239.26</v>
      </c>
      <c r="E32" s="25">
        <f>11820.86+507.51+3909.02+4622.9+3943.36</f>
        <v>24803.65</v>
      </c>
      <c r="F32" s="25">
        <f>1112.05+26.43+291.15+545.01+245.06</f>
        <v>2219.7000000000003</v>
      </c>
      <c r="G32" s="25">
        <f>1022.54+138.34+476.83+279.72+453.3</f>
        <v>2370.73</v>
      </c>
      <c r="H32" s="26"/>
      <c r="I32" s="25"/>
      <c r="J32" s="25">
        <v>1702.27</v>
      </c>
      <c r="K32" s="25">
        <v>4525.01</v>
      </c>
      <c r="L32" s="25"/>
      <c r="M32" s="25">
        <v>2783.53</v>
      </c>
      <c r="N32" s="25"/>
      <c r="O32" s="25"/>
      <c r="P32" s="25"/>
      <c r="Q32" s="57">
        <f t="shared" si="1"/>
        <v>9010.810000000001</v>
      </c>
      <c r="R32" s="58">
        <f t="shared" si="0"/>
        <v>85017.37</v>
      </c>
      <c r="S32" s="59">
        <f t="shared" si="2"/>
        <v>76006.56</v>
      </c>
      <c r="U32" s="62"/>
    </row>
    <row r="33" spans="1:21" ht="15.75">
      <c r="A33" s="55">
        <v>29</v>
      </c>
      <c r="B33" s="56" t="s">
        <v>42</v>
      </c>
      <c r="C33" s="25">
        <v>20110.9</v>
      </c>
      <c r="D33" s="25">
        <v>27470.37</v>
      </c>
      <c r="E33" s="25">
        <v>11904.58</v>
      </c>
      <c r="F33" s="25">
        <v>1905.76</v>
      </c>
      <c r="G33" s="25">
        <v>2103.72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63495.33000000001</v>
      </c>
      <c r="S33" s="59">
        <f t="shared" si="2"/>
        <v>63495.33000000001</v>
      </c>
      <c r="U33" s="62"/>
    </row>
    <row r="34" spans="1:21" ht="15.75">
      <c r="A34" s="55">
        <v>30</v>
      </c>
      <c r="B34" s="56" t="s">
        <v>44</v>
      </c>
      <c r="C34" s="25">
        <v>9423.93</v>
      </c>
      <c r="D34" s="25">
        <v>6431.68</v>
      </c>
      <c r="E34" s="25">
        <v>4310.88</v>
      </c>
      <c r="F34" s="25">
        <v>1249.5</v>
      </c>
      <c r="G34" s="25">
        <v>748.19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22164.18</v>
      </c>
      <c r="S34" s="59">
        <f t="shared" si="2"/>
        <v>22164.18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7642.89</v>
      </c>
      <c r="D36" s="25">
        <v>8191.75</v>
      </c>
      <c r="E36" s="25">
        <v>5079.93</v>
      </c>
      <c r="F36" s="25">
        <v>636.47</v>
      </c>
      <c r="G36" s="25">
        <v>998.76</v>
      </c>
      <c r="H36" s="25">
        <v>491.69</v>
      </c>
      <c r="I36" s="25"/>
      <c r="J36" s="25"/>
      <c r="K36" s="25"/>
      <c r="L36" s="25"/>
      <c r="M36" s="25"/>
      <c r="N36" s="25"/>
      <c r="O36" s="25"/>
      <c r="P36" s="25"/>
      <c r="Q36" s="57">
        <f t="shared" si="1"/>
        <v>491.69</v>
      </c>
      <c r="R36" s="58">
        <f t="shared" si="0"/>
        <v>23041.489999999998</v>
      </c>
      <c r="S36" s="59">
        <f t="shared" si="2"/>
        <v>22549.8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4164.42</v>
      </c>
      <c r="D37" s="25">
        <v>4338.74</v>
      </c>
      <c r="E37" s="25">
        <v>2156.86</v>
      </c>
      <c r="F37" s="25">
        <v>329.56</v>
      </c>
      <c r="G37" s="25">
        <v>550.68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11540.26</v>
      </c>
      <c r="S37" s="59">
        <f t="shared" si="2"/>
        <v>11540.26</v>
      </c>
      <c r="U37" s="62"/>
    </row>
    <row r="38" spans="1:21" s="4" customFormat="1" ht="15.75">
      <c r="A38" s="55">
        <v>34</v>
      </c>
      <c r="B38" s="56" t="s">
        <v>61</v>
      </c>
      <c r="C38" s="25">
        <v>5122.02</v>
      </c>
      <c r="D38" s="25">
        <v>6015.1</v>
      </c>
      <c r="E38" s="25">
        <v>1192.15</v>
      </c>
      <c r="F38" s="25">
        <v>2384.12</v>
      </c>
      <c r="G38" s="25">
        <v>738.53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15451.92</v>
      </c>
      <c r="S38" s="59">
        <f t="shared" si="2"/>
        <v>15451.92</v>
      </c>
      <c r="U38" s="62"/>
    </row>
    <row r="39" spans="1:21" s="4" customFormat="1" ht="16.5" thickBot="1">
      <c r="A39" s="55">
        <v>35</v>
      </c>
      <c r="B39" s="56" t="s">
        <v>71</v>
      </c>
      <c r="C39" s="25">
        <v>3989.4</v>
      </c>
      <c r="D39" s="25">
        <v>3315.62</v>
      </c>
      <c r="E39" s="25">
        <v>498.93</v>
      </c>
      <c r="F39" s="25">
        <v>678.37</v>
      </c>
      <c r="G39" s="25">
        <v>246.36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8728.680000000002</v>
      </c>
      <c r="S39" s="59">
        <f t="shared" si="2"/>
        <v>8728.680000000002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839054.8800000004</v>
      </c>
      <c r="D40" s="57">
        <f>SUM(D5:D39)</f>
        <v>928706.2800000001</v>
      </c>
      <c r="E40" s="57">
        <f aca="true" t="shared" si="3" ref="E40:P40">SUM(E5:E39)</f>
        <v>705667.1600000001</v>
      </c>
      <c r="F40" s="57">
        <f t="shared" si="3"/>
        <v>95659.79999999999</v>
      </c>
      <c r="G40" s="57">
        <f t="shared" si="3"/>
        <v>101261.43</v>
      </c>
      <c r="H40" s="57">
        <f t="shared" si="3"/>
        <v>6561.95</v>
      </c>
      <c r="I40" s="57">
        <f t="shared" si="3"/>
        <v>0</v>
      </c>
      <c r="J40" s="57">
        <f t="shared" si="3"/>
        <v>10257.73</v>
      </c>
      <c r="K40" s="57">
        <f t="shared" si="3"/>
        <v>18100.03</v>
      </c>
      <c r="L40" s="57">
        <f t="shared" si="3"/>
        <v>185326.28</v>
      </c>
      <c r="M40" s="57">
        <f t="shared" si="3"/>
        <v>9571.03</v>
      </c>
      <c r="N40" s="57">
        <f t="shared" si="3"/>
        <v>59494.6</v>
      </c>
      <c r="O40" s="57">
        <f t="shared" si="3"/>
        <v>3013.34</v>
      </c>
      <c r="P40" s="57">
        <f t="shared" si="3"/>
        <v>33224.69</v>
      </c>
      <c r="Q40" s="57">
        <f>SUM(Q5:Q39)</f>
        <v>325549.65</v>
      </c>
      <c r="R40" s="58">
        <f>SUM(R5:R39)</f>
        <v>2995899.1999999997</v>
      </c>
      <c r="S40" s="59">
        <f>SUM(S5:S39)</f>
        <v>2670349.55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G22" sqref="G22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1" t="s">
        <v>90</v>
      </c>
      <c r="B3" s="81"/>
      <c r="C3" s="81"/>
      <c r="D3" s="81"/>
      <c r="E3" s="81"/>
      <c r="F3" s="81"/>
      <c r="G3" s="81"/>
    </row>
    <row r="4" spans="1:7" ht="14.25">
      <c r="A4" s="83"/>
      <c r="B4" s="83"/>
      <c r="C4" s="83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>
        <v>36418.22</v>
      </c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>
        <v>999.37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663.78</v>
      </c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38081.37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H28" sqref="H28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1" t="s">
        <v>91</v>
      </c>
      <c r="B3" s="81"/>
      <c r="C3" s="81"/>
      <c r="D3" s="81"/>
      <c r="E3" s="81"/>
      <c r="F3" s="81"/>
      <c r="G3" s="81"/>
      <c r="H3" s="81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6"/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440.51</v>
      </c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/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>
        <v>440.51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>
        <v>440.5</v>
      </c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1321.52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1"/>
  <sheetViews>
    <sheetView view="pageBreakPreview" zoomScale="60" workbookViewId="0" topLeftCell="A1">
      <selection activeCell="I6" sqref="I6:I40"/>
    </sheetView>
  </sheetViews>
  <sheetFormatPr defaultColWidth="9.140625" defaultRowHeight="12.75"/>
  <cols>
    <col min="1" max="1" width="9.57421875" style="0" bestFit="1" customWidth="1"/>
    <col min="2" max="2" width="33.28125" style="0" customWidth="1"/>
    <col min="3" max="3" width="15.140625" style="0" customWidth="1"/>
    <col min="4" max="4" width="12.57421875" style="0" bestFit="1" customWidth="1"/>
    <col min="5" max="5" width="10.8515625" style="0" customWidth="1"/>
    <col min="6" max="7" width="11.57421875" style="0" customWidth="1"/>
    <col min="8" max="8" width="13.7109375" style="0" customWidth="1"/>
    <col min="9" max="9" width="15.00390625" style="0" customWidth="1"/>
  </cols>
  <sheetData>
    <row r="3" spans="1:12" ht="1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36"/>
      <c r="B4" s="36"/>
      <c r="C4" s="38"/>
      <c r="D4" s="1"/>
      <c r="E4" s="1"/>
      <c r="F4" s="1"/>
      <c r="G4" s="1"/>
      <c r="H4" s="1"/>
      <c r="I4" s="1"/>
      <c r="J4" s="1"/>
      <c r="K4" s="36"/>
      <c r="L4" s="36"/>
    </row>
    <row r="5" spans="1:12" ht="30">
      <c r="A5" s="70" t="s">
        <v>0</v>
      </c>
      <c r="B5" s="70" t="s">
        <v>1</v>
      </c>
      <c r="C5" s="70" t="s">
        <v>72</v>
      </c>
      <c r="D5" s="70" t="s">
        <v>73</v>
      </c>
      <c r="E5" s="70" t="s">
        <v>76</v>
      </c>
      <c r="F5" s="70" t="s">
        <v>77</v>
      </c>
      <c r="G5" s="70" t="s">
        <v>80</v>
      </c>
      <c r="H5" s="70" t="s">
        <v>74</v>
      </c>
      <c r="I5" s="71" t="s">
        <v>75</v>
      </c>
      <c r="J5" s="36"/>
      <c r="K5" s="36"/>
      <c r="L5" s="36"/>
    </row>
    <row r="6" spans="1:12" ht="15.75">
      <c r="A6" s="55">
        <v>1</v>
      </c>
      <c r="B6" s="56" t="s">
        <v>6</v>
      </c>
      <c r="C6" s="6">
        <v>980.34</v>
      </c>
      <c r="D6" s="6">
        <v>1939.74</v>
      </c>
      <c r="E6" s="6">
        <v>918.76</v>
      </c>
      <c r="F6" s="6"/>
      <c r="G6" s="6"/>
      <c r="H6" s="6">
        <v>1991.74</v>
      </c>
      <c r="I6" s="68">
        <f>C6+D6+E6+F6+G6+H6</f>
        <v>5830.58</v>
      </c>
      <c r="J6" s="36"/>
      <c r="K6" s="36"/>
      <c r="L6" s="36"/>
    </row>
    <row r="7" spans="1:9" ht="15.75">
      <c r="A7" s="55">
        <v>2</v>
      </c>
      <c r="B7" s="56" t="s">
        <v>7</v>
      </c>
      <c r="C7" s="66"/>
      <c r="D7" s="66"/>
      <c r="E7" s="66"/>
      <c r="F7" s="66"/>
      <c r="G7" s="66"/>
      <c r="H7" s="66">
        <v>150.72</v>
      </c>
      <c r="I7" s="68">
        <f aca="true" t="shared" si="0" ref="I7:I41">C7+D7+E7+F7+G7+H7</f>
        <v>150.72</v>
      </c>
    </row>
    <row r="8" spans="1:9" ht="15.75">
      <c r="A8" s="55">
        <v>3</v>
      </c>
      <c r="B8" s="56" t="s">
        <v>8</v>
      </c>
      <c r="C8" s="66"/>
      <c r="D8" s="66">
        <f>1355.88+709.3</f>
        <v>2065.1800000000003</v>
      </c>
      <c r="E8" s="66"/>
      <c r="F8" s="66"/>
      <c r="G8" s="66"/>
      <c r="H8" s="66">
        <v>150.73</v>
      </c>
      <c r="I8" s="68">
        <f t="shared" si="0"/>
        <v>2215.9100000000003</v>
      </c>
    </row>
    <row r="9" spans="1:9" ht="15.75">
      <c r="A9" s="55">
        <v>4</v>
      </c>
      <c r="B9" s="56" t="s">
        <v>9</v>
      </c>
      <c r="C9" s="66">
        <v>326.78</v>
      </c>
      <c r="D9" s="66"/>
      <c r="E9" s="66"/>
      <c r="F9" s="66"/>
      <c r="G9" s="66"/>
      <c r="H9" s="66"/>
      <c r="I9" s="68">
        <f t="shared" si="0"/>
        <v>326.78</v>
      </c>
    </row>
    <row r="10" spans="1:9" ht="15.75">
      <c r="A10" s="55">
        <v>5</v>
      </c>
      <c r="B10" s="56" t="s">
        <v>10</v>
      </c>
      <c r="C10" s="66"/>
      <c r="D10" s="66">
        <v>2048.64</v>
      </c>
      <c r="E10" s="66"/>
      <c r="F10" s="66"/>
      <c r="G10" s="66">
        <v>2004.13</v>
      </c>
      <c r="H10" s="66">
        <v>291.41</v>
      </c>
      <c r="I10" s="68">
        <f t="shared" si="0"/>
        <v>4344.18</v>
      </c>
    </row>
    <row r="11" spans="1:9" ht="15.75">
      <c r="A11" s="55">
        <v>6</v>
      </c>
      <c r="B11" s="56" t="s">
        <v>11</v>
      </c>
      <c r="C11" s="66">
        <f>326.78</f>
        <v>326.78</v>
      </c>
      <c r="D11" s="66">
        <v>1469.26</v>
      </c>
      <c r="E11" s="66"/>
      <c r="F11" s="66"/>
      <c r="G11" s="66"/>
      <c r="H11" s="66">
        <f>631.84+141.31+150.73+1085+614.8</f>
        <v>2623.6800000000003</v>
      </c>
      <c r="I11" s="68">
        <f t="shared" si="0"/>
        <v>4419.72</v>
      </c>
    </row>
    <row r="12" spans="1:9" ht="15.75">
      <c r="A12" s="55">
        <v>7</v>
      </c>
      <c r="B12" s="56" t="s">
        <v>59</v>
      </c>
      <c r="C12" s="66"/>
      <c r="D12" s="66">
        <v>646.58</v>
      </c>
      <c r="E12" s="66">
        <v>459.38</v>
      </c>
      <c r="F12" s="66"/>
      <c r="G12" s="66"/>
      <c r="H12" s="66">
        <f>675.83+150.73+602.9+230.91+513.53</f>
        <v>2173.9</v>
      </c>
      <c r="I12" s="68">
        <f t="shared" si="0"/>
        <v>3279.86</v>
      </c>
    </row>
    <row r="13" spans="1:9" ht="15.75">
      <c r="A13" s="55">
        <v>8</v>
      </c>
      <c r="B13" s="56" t="s">
        <v>12</v>
      </c>
      <c r="C13" s="66"/>
      <c r="D13" s="66"/>
      <c r="E13" s="66">
        <v>1378.14</v>
      </c>
      <c r="F13" s="66"/>
      <c r="G13" s="66"/>
      <c r="H13" s="66">
        <v>244.93</v>
      </c>
      <c r="I13" s="68">
        <f t="shared" si="0"/>
        <v>1623.0700000000002</v>
      </c>
    </row>
    <row r="14" spans="1:9" ht="15.75">
      <c r="A14" s="55">
        <v>9</v>
      </c>
      <c r="B14" s="56" t="s">
        <v>13</v>
      </c>
      <c r="C14" s="66">
        <f>326.78+326.78</f>
        <v>653.56</v>
      </c>
      <c r="D14" s="66">
        <f>1418.6+709.3</f>
        <v>2127.8999999999996</v>
      </c>
      <c r="E14" s="66"/>
      <c r="F14" s="66"/>
      <c r="G14" s="66"/>
      <c r="H14" s="66">
        <f>724.52+481.1</f>
        <v>1205.62</v>
      </c>
      <c r="I14" s="68">
        <f t="shared" si="0"/>
        <v>3987.0799999999995</v>
      </c>
    </row>
    <row r="15" spans="1:9" ht="15.75">
      <c r="A15" s="55">
        <v>10</v>
      </c>
      <c r="B15" s="56" t="s">
        <v>14</v>
      </c>
      <c r="C15" s="66">
        <f>326.78+326.78</f>
        <v>653.56</v>
      </c>
      <c r="D15" s="66">
        <v>709.3</v>
      </c>
      <c r="E15" s="66"/>
      <c r="F15" s="66"/>
      <c r="G15" s="66"/>
      <c r="H15" s="66">
        <f>1768.02+80.18+1429.78</f>
        <v>3277.98</v>
      </c>
      <c r="I15" s="68">
        <f t="shared" si="0"/>
        <v>4640.84</v>
      </c>
    </row>
    <row r="16" spans="1:9" ht="15.75">
      <c r="A16" s="55">
        <v>11</v>
      </c>
      <c r="B16" s="56" t="s">
        <v>15</v>
      </c>
      <c r="C16" s="66">
        <v>1307.12</v>
      </c>
      <c r="D16" s="66"/>
      <c r="E16" s="66"/>
      <c r="F16" s="66"/>
      <c r="G16" s="66"/>
      <c r="H16" s="66">
        <v>1202.75</v>
      </c>
      <c r="I16" s="68">
        <f t="shared" si="0"/>
        <v>2509.87</v>
      </c>
    </row>
    <row r="17" spans="1:9" ht="15.75">
      <c r="A17" s="55">
        <v>12</v>
      </c>
      <c r="B17" s="56" t="s">
        <v>16</v>
      </c>
      <c r="C17" s="66">
        <v>326.78</v>
      </c>
      <c r="D17" s="66">
        <v>709.3</v>
      </c>
      <c r="E17" s="66"/>
      <c r="F17" s="66"/>
      <c r="G17" s="66"/>
      <c r="H17" s="66">
        <v>150.73</v>
      </c>
      <c r="I17" s="68">
        <f t="shared" si="0"/>
        <v>1186.81</v>
      </c>
    </row>
    <row r="18" spans="1:9" ht="15.75">
      <c r="A18" s="55">
        <v>13</v>
      </c>
      <c r="B18" s="56" t="s">
        <v>17</v>
      </c>
      <c r="C18" s="66">
        <v>653.56</v>
      </c>
      <c r="D18" s="66"/>
      <c r="E18" s="66"/>
      <c r="F18" s="66"/>
      <c r="G18" s="66"/>
      <c r="H18" s="66">
        <v>2449.15</v>
      </c>
      <c r="I18" s="68">
        <f t="shared" si="0"/>
        <v>3102.71</v>
      </c>
    </row>
    <row r="19" spans="1:9" ht="15.75">
      <c r="A19" s="55">
        <v>14</v>
      </c>
      <c r="B19" s="56" t="s">
        <v>18</v>
      </c>
      <c r="C19" s="66"/>
      <c r="D19" s="66"/>
      <c r="E19" s="66"/>
      <c r="F19" s="66"/>
      <c r="G19" s="66"/>
      <c r="H19" s="66">
        <v>160.37</v>
      </c>
      <c r="I19" s="68">
        <f t="shared" si="0"/>
        <v>160.37</v>
      </c>
    </row>
    <row r="20" spans="1:9" ht="15.75">
      <c r="A20" s="55">
        <v>15</v>
      </c>
      <c r="B20" s="56" t="s">
        <v>19</v>
      </c>
      <c r="C20" s="66"/>
      <c r="D20" s="66"/>
      <c r="E20" s="66"/>
      <c r="F20" s="66"/>
      <c r="G20" s="66"/>
      <c r="H20" s="66"/>
      <c r="I20" s="68">
        <f t="shared" si="0"/>
        <v>0</v>
      </c>
    </row>
    <row r="21" spans="1:9" ht="15.75">
      <c r="A21" s="55">
        <v>16</v>
      </c>
      <c r="B21" s="56" t="s">
        <v>20</v>
      </c>
      <c r="C21" s="66">
        <v>326.78</v>
      </c>
      <c r="D21" s="66"/>
      <c r="E21" s="66"/>
      <c r="F21" s="66"/>
      <c r="G21" s="66"/>
      <c r="H21" s="66"/>
      <c r="I21" s="68">
        <f t="shared" si="0"/>
        <v>326.78</v>
      </c>
    </row>
    <row r="22" spans="1:9" ht="15.75">
      <c r="A22" s="55">
        <v>17</v>
      </c>
      <c r="B22" s="56" t="s">
        <v>21</v>
      </c>
      <c r="C22" s="66">
        <v>653.56</v>
      </c>
      <c r="D22" s="66">
        <v>692.76</v>
      </c>
      <c r="E22" s="66"/>
      <c r="F22" s="66"/>
      <c r="G22" s="66"/>
      <c r="H22" s="66">
        <v>913.2</v>
      </c>
      <c r="I22" s="68">
        <f t="shared" si="0"/>
        <v>2259.52</v>
      </c>
    </row>
    <row r="23" spans="1:9" ht="15.75">
      <c r="A23" s="55">
        <v>18</v>
      </c>
      <c r="B23" s="56" t="s">
        <v>22</v>
      </c>
      <c r="C23" s="66"/>
      <c r="D23" s="66">
        <v>1026.55</v>
      </c>
      <c r="E23" s="66"/>
      <c r="F23" s="66"/>
      <c r="G23" s="66"/>
      <c r="H23" s="66">
        <f>765.31+150.72+1122.53</f>
        <v>2038.56</v>
      </c>
      <c r="I23" s="68">
        <f t="shared" si="0"/>
        <v>3065.1099999999997</v>
      </c>
    </row>
    <row r="24" spans="1:9" ht="15.75">
      <c r="A24" s="55">
        <v>19</v>
      </c>
      <c r="B24" s="56" t="s">
        <v>23</v>
      </c>
      <c r="C24" s="66"/>
      <c r="D24" s="66"/>
      <c r="E24" s="66"/>
      <c r="F24" s="66"/>
      <c r="G24" s="66"/>
      <c r="H24" s="66"/>
      <c r="I24" s="68">
        <f t="shared" si="0"/>
        <v>0</v>
      </c>
    </row>
    <row r="25" spans="1:9" ht="15.75">
      <c r="A25" s="55">
        <v>20</v>
      </c>
      <c r="B25" s="56" t="s">
        <v>24</v>
      </c>
      <c r="C25" s="66"/>
      <c r="D25" s="66"/>
      <c r="E25" s="66"/>
      <c r="F25" s="66"/>
      <c r="G25" s="66"/>
      <c r="H25" s="66">
        <v>343.64</v>
      </c>
      <c r="I25" s="68">
        <f t="shared" si="0"/>
        <v>343.64</v>
      </c>
    </row>
    <row r="26" spans="1:9" ht="15.75">
      <c r="A26" s="55">
        <v>21</v>
      </c>
      <c r="B26" s="56" t="s">
        <v>25</v>
      </c>
      <c r="C26" s="66">
        <f>653.54+326.77</f>
        <v>980.31</v>
      </c>
      <c r="D26" s="66"/>
      <c r="E26" s="66"/>
      <c r="F26" s="66"/>
      <c r="G26" s="66"/>
      <c r="H26" s="66">
        <f>320.72+612.52+584.04</f>
        <v>1517.28</v>
      </c>
      <c r="I26" s="68">
        <f t="shared" si="0"/>
        <v>2497.59</v>
      </c>
    </row>
    <row r="27" spans="1:9" ht="15.75">
      <c r="A27" s="55">
        <v>22</v>
      </c>
      <c r="B27" s="56" t="s">
        <v>26</v>
      </c>
      <c r="C27" s="66"/>
      <c r="D27" s="66">
        <v>646.57</v>
      </c>
      <c r="E27" s="66"/>
      <c r="F27" s="66"/>
      <c r="G27" s="66"/>
      <c r="H27" s="66">
        <v>362.78</v>
      </c>
      <c r="I27" s="68">
        <f t="shared" si="0"/>
        <v>1009.35</v>
      </c>
    </row>
    <row r="28" spans="1:9" ht="15.75">
      <c r="A28" s="55">
        <v>23</v>
      </c>
      <c r="B28" s="56" t="s">
        <v>27</v>
      </c>
      <c r="C28" s="66"/>
      <c r="D28" s="66"/>
      <c r="E28" s="66"/>
      <c r="F28" s="66"/>
      <c r="G28" s="66"/>
      <c r="H28" s="66">
        <v>160.37</v>
      </c>
      <c r="I28" s="68">
        <f t="shared" si="0"/>
        <v>160.37</v>
      </c>
    </row>
    <row r="29" spans="1:9" ht="15.75">
      <c r="A29" s="55">
        <v>24</v>
      </c>
      <c r="B29" s="56" t="s">
        <v>28</v>
      </c>
      <c r="C29" s="66"/>
      <c r="D29" s="66"/>
      <c r="E29" s="66"/>
      <c r="F29" s="66"/>
      <c r="G29" s="66"/>
      <c r="H29" s="66">
        <f>141.31+150.73</f>
        <v>292.03999999999996</v>
      </c>
      <c r="I29" s="68">
        <f t="shared" si="0"/>
        <v>292.03999999999996</v>
      </c>
    </row>
    <row r="30" spans="1:9" ht="15.75">
      <c r="A30" s="55">
        <v>25</v>
      </c>
      <c r="B30" s="56" t="s">
        <v>29</v>
      </c>
      <c r="C30" s="66">
        <f>326.78+326.78+326.78</f>
        <v>980.3399999999999</v>
      </c>
      <c r="D30" s="66">
        <f>646.58+692.76</f>
        <v>1339.3400000000001</v>
      </c>
      <c r="E30" s="66"/>
      <c r="F30" s="66">
        <v>43240.68</v>
      </c>
      <c r="G30" s="66"/>
      <c r="H30" s="66">
        <f>1375.65+612.56+160.37</f>
        <v>2148.58</v>
      </c>
      <c r="I30" s="68">
        <f t="shared" si="0"/>
        <v>47708.94</v>
      </c>
    </row>
    <row r="31" spans="1:9" ht="15.75">
      <c r="A31" s="55">
        <v>26</v>
      </c>
      <c r="B31" s="56" t="s">
        <v>30</v>
      </c>
      <c r="C31" s="66">
        <v>326.78</v>
      </c>
      <c r="D31" s="66">
        <v>1293.16</v>
      </c>
      <c r="E31" s="66"/>
      <c r="F31" s="66"/>
      <c r="G31" s="66"/>
      <c r="H31" s="66">
        <f>1617.05+160.37</f>
        <v>1777.42</v>
      </c>
      <c r="I31" s="68">
        <f t="shared" si="0"/>
        <v>3397.36</v>
      </c>
    </row>
    <row r="32" spans="1:9" ht="15.75">
      <c r="A32" s="55">
        <v>27</v>
      </c>
      <c r="B32" s="56" t="s">
        <v>40</v>
      </c>
      <c r="C32" s="66"/>
      <c r="D32" s="66"/>
      <c r="E32" s="66"/>
      <c r="F32" s="66"/>
      <c r="G32" s="66"/>
      <c r="H32" s="66"/>
      <c r="I32" s="68">
        <f t="shared" si="0"/>
        <v>0</v>
      </c>
    </row>
    <row r="33" spans="1:9" ht="15.75">
      <c r="A33" s="55">
        <v>28</v>
      </c>
      <c r="B33" s="56" t="s">
        <v>41</v>
      </c>
      <c r="C33" s="66">
        <v>326.78</v>
      </c>
      <c r="D33" s="66">
        <v>646.58</v>
      </c>
      <c r="E33" s="66"/>
      <c r="F33" s="66"/>
      <c r="G33" s="66"/>
      <c r="H33" s="66">
        <f>141.31+301.45</f>
        <v>442.76</v>
      </c>
      <c r="I33" s="68">
        <f t="shared" si="0"/>
        <v>1416.12</v>
      </c>
    </row>
    <row r="34" spans="1:9" ht="15.75">
      <c r="A34" s="55">
        <v>29</v>
      </c>
      <c r="B34" s="56" t="s">
        <v>42</v>
      </c>
      <c r="C34" s="66">
        <v>653.56</v>
      </c>
      <c r="D34" s="66"/>
      <c r="E34" s="66"/>
      <c r="F34" s="66"/>
      <c r="G34" s="66"/>
      <c r="H34" s="66">
        <v>641.46</v>
      </c>
      <c r="I34" s="68">
        <f t="shared" si="0"/>
        <v>1295.02</v>
      </c>
    </row>
    <row r="35" spans="1:9" ht="15.75">
      <c r="A35" s="55">
        <v>30</v>
      </c>
      <c r="B35" s="56" t="s">
        <v>44</v>
      </c>
      <c r="C35" s="66">
        <v>326.78</v>
      </c>
      <c r="D35" s="66"/>
      <c r="E35" s="66"/>
      <c r="F35" s="66"/>
      <c r="G35" s="66"/>
      <c r="H35" s="66">
        <v>301.46</v>
      </c>
      <c r="I35" s="68">
        <f t="shared" si="0"/>
        <v>628.24</v>
      </c>
    </row>
    <row r="36" spans="1:9" ht="15.75">
      <c r="A36" s="55">
        <v>31</v>
      </c>
      <c r="B36" s="56" t="s">
        <v>45</v>
      </c>
      <c r="C36" s="66"/>
      <c r="D36" s="66"/>
      <c r="E36" s="66"/>
      <c r="F36" s="66"/>
      <c r="G36" s="66"/>
      <c r="H36" s="66"/>
      <c r="I36" s="68">
        <f t="shared" si="0"/>
        <v>0</v>
      </c>
    </row>
    <row r="37" spans="1:9" ht="15.75">
      <c r="A37" s="55">
        <v>32</v>
      </c>
      <c r="B37" s="56" t="s">
        <v>47</v>
      </c>
      <c r="C37" s="66">
        <v>326.78</v>
      </c>
      <c r="D37" s="66"/>
      <c r="E37" s="66"/>
      <c r="F37" s="66"/>
      <c r="G37" s="66"/>
      <c r="H37" s="66">
        <v>80.18</v>
      </c>
      <c r="I37" s="68">
        <f t="shared" si="0"/>
        <v>406.96</v>
      </c>
    </row>
    <row r="38" spans="1:9" ht="15.75">
      <c r="A38" s="55">
        <v>33</v>
      </c>
      <c r="B38" s="56" t="s">
        <v>60</v>
      </c>
      <c r="C38" s="66">
        <v>653.56</v>
      </c>
      <c r="D38" s="66"/>
      <c r="E38" s="66"/>
      <c r="F38" s="66"/>
      <c r="G38" s="66"/>
      <c r="H38" s="66"/>
      <c r="I38" s="68">
        <f t="shared" si="0"/>
        <v>653.56</v>
      </c>
    </row>
    <row r="39" spans="1:9" ht="15.75">
      <c r="A39" s="55">
        <v>34</v>
      </c>
      <c r="B39" s="56" t="s">
        <v>61</v>
      </c>
      <c r="C39" s="66">
        <v>326.78</v>
      </c>
      <c r="D39" s="66"/>
      <c r="E39" s="66"/>
      <c r="F39" s="66"/>
      <c r="G39" s="66"/>
      <c r="H39" s="66">
        <v>471.47</v>
      </c>
      <c r="I39" s="68">
        <f t="shared" si="0"/>
        <v>798.25</v>
      </c>
    </row>
    <row r="40" spans="1:9" ht="15.75">
      <c r="A40" s="55">
        <v>35</v>
      </c>
      <c r="B40" s="56" t="s">
        <v>71</v>
      </c>
      <c r="C40" s="66">
        <v>326.78</v>
      </c>
      <c r="D40" s="66"/>
      <c r="E40" s="66"/>
      <c r="F40" s="66"/>
      <c r="G40" s="66"/>
      <c r="H40" s="66"/>
      <c r="I40" s="68">
        <f t="shared" si="0"/>
        <v>326.78</v>
      </c>
    </row>
    <row r="41" spans="1:9" ht="15.75">
      <c r="A41" s="57"/>
      <c r="B41" s="57" t="s">
        <v>31</v>
      </c>
      <c r="C41" s="67">
        <f aca="true" t="shared" si="1" ref="C41:H41">SUM(C6:C40)</f>
        <v>11437.270000000002</v>
      </c>
      <c r="D41" s="67">
        <f t="shared" si="1"/>
        <v>17360.86</v>
      </c>
      <c r="E41" s="67">
        <f t="shared" si="1"/>
        <v>2756.2799999999997</v>
      </c>
      <c r="F41" s="67">
        <f t="shared" si="1"/>
        <v>43240.68</v>
      </c>
      <c r="G41" s="67">
        <f t="shared" si="1"/>
        <v>2004.13</v>
      </c>
      <c r="H41" s="67">
        <f t="shared" si="1"/>
        <v>27564.909999999993</v>
      </c>
      <c r="I41" s="68">
        <f t="shared" si="0"/>
        <v>104364.12999999999</v>
      </c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U13" sqref="U13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92</v>
      </c>
      <c r="B3" s="61"/>
      <c r="C3" s="61"/>
      <c r="D3" s="61"/>
      <c r="E3" s="61"/>
      <c r="F3" s="61"/>
    </row>
    <row r="4" spans="1:6" ht="14.25">
      <c r="A4" s="83"/>
      <c r="B4" s="83"/>
      <c r="C4" s="83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6"/>
      <c r="D6" s="66"/>
    </row>
    <row r="7" spans="1:4" ht="15.75">
      <c r="A7" s="55">
        <v>2</v>
      </c>
      <c r="B7" s="56" t="s">
        <v>7</v>
      </c>
      <c r="C7" s="66"/>
      <c r="D7" s="66"/>
    </row>
    <row r="8" spans="1:4" ht="15.75">
      <c r="A8" s="55">
        <v>3</v>
      </c>
      <c r="B8" s="56" t="s">
        <v>8</v>
      </c>
      <c r="C8" s="66"/>
      <c r="D8" s="66"/>
    </row>
    <row r="9" spans="1:4" ht="15.75">
      <c r="A9" s="55">
        <v>4</v>
      </c>
      <c r="B9" s="56" t="s">
        <v>9</v>
      </c>
      <c r="C9" s="66"/>
      <c r="D9" s="66"/>
    </row>
    <row r="10" spans="1:4" ht="15.75">
      <c r="A10" s="55">
        <v>5</v>
      </c>
      <c r="B10" s="56" t="s">
        <v>10</v>
      </c>
      <c r="C10" s="66"/>
      <c r="D10" s="66"/>
    </row>
    <row r="11" spans="1:4" ht="15.75">
      <c r="A11" s="55">
        <v>6</v>
      </c>
      <c r="B11" s="56" t="s">
        <v>11</v>
      </c>
      <c r="C11" s="66"/>
      <c r="D11" s="66"/>
    </row>
    <row r="12" spans="1:4" ht="15.75">
      <c r="A12" s="55">
        <v>7</v>
      </c>
      <c r="B12" s="56" t="s">
        <v>59</v>
      </c>
      <c r="C12" s="66"/>
      <c r="D12" s="66"/>
    </row>
    <row r="13" spans="1:4" ht="15.75">
      <c r="A13" s="55">
        <v>8</v>
      </c>
      <c r="B13" s="56" t="s">
        <v>12</v>
      </c>
      <c r="C13" s="66"/>
      <c r="D13" s="66"/>
    </row>
    <row r="14" spans="1:4" ht="15.75">
      <c r="A14" s="55">
        <v>9</v>
      </c>
      <c r="B14" s="56" t="s">
        <v>13</v>
      </c>
      <c r="C14" s="66">
        <v>6730.16</v>
      </c>
      <c r="D14" s="66"/>
    </row>
    <row r="15" spans="1:4" ht="15.75">
      <c r="A15" s="55">
        <v>10</v>
      </c>
      <c r="B15" s="56" t="s">
        <v>14</v>
      </c>
      <c r="C15" s="66"/>
      <c r="D15" s="66"/>
    </row>
    <row r="16" spans="1:4" ht="15.75">
      <c r="A16" s="55">
        <v>11</v>
      </c>
      <c r="B16" s="56" t="s">
        <v>15</v>
      </c>
      <c r="C16" s="66"/>
      <c r="D16" s="66"/>
    </row>
    <row r="17" spans="1:4" ht="15.75">
      <c r="A17" s="55">
        <v>12</v>
      </c>
      <c r="B17" s="56" t="s">
        <v>16</v>
      </c>
      <c r="C17" s="66"/>
      <c r="D17" s="66"/>
    </row>
    <row r="18" spans="1:4" ht="15.75">
      <c r="A18" s="55">
        <v>13</v>
      </c>
      <c r="B18" s="56" t="s">
        <v>17</v>
      </c>
      <c r="C18" s="66">
        <v>3431.32</v>
      </c>
      <c r="D18" s="66">
        <v>2827.18</v>
      </c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/>
      <c r="D22" s="66"/>
    </row>
    <row r="23" spans="1:4" ht="15.75">
      <c r="A23" s="55">
        <v>18</v>
      </c>
      <c r="B23" s="56" t="s">
        <v>22</v>
      </c>
      <c r="C23" s="66"/>
      <c r="D23" s="66">
        <v>2766.46</v>
      </c>
    </row>
    <row r="24" spans="1:4" ht="15.75">
      <c r="A24" s="55">
        <v>19</v>
      </c>
      <c r="B24" s="56" t="s">
        <v>23</v>
      </c>
      <c r="C24" s="66"/>
      <c r="D24" s="66"/>
    </row>
    <row r="25" spans="1:4" ht="15.75">
      <c r="A25" s="55">
        <v>20</v>
      </c>
      <c r="B25" s="56" t="s">
        <v>24</v>
      </c>
      <c r="C25" s="66"/>
      <c r="D25" s="66"/>
    </row>
    <row r="26" spans="1:4" ht="15.75">
      <c r="A26" s="55">
        <v>21</v>
      </c>
      <c r="B26" s="56" t="s">
        <v>25</v>
      </c>
      <c r="C26" s="66">
        <v>15.18</v>
      </c>
      <c r="D26" s="66"/>
    </row>
    <row r="27" spans="1:4" ht="15.75">
      <c r="A27" s="55">
        <v>22</v>
      </c>
      <c r="B27" s="56" t="s">
        <v>26</v>
      </c>
      <c r="C27" s="66"/>
      <c r="D27" s="66"/>
    </row>
    <row r="28" spans="1:4" ht="15.75">
      <c r="A28" s="55">
        <v>23</v>
      </c>
      <c r="B28" s="56" t="s">
        <v>27</v>
      </c>
      <c r="C28" s="66"/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/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/>
      <c r="D32" s="66"/>
    </row>
    <row r="33" spans="1:4" ht="15.75">
      <c r="A33" s="55">
        <v>28</v>
      </c>
      <c r="B33" s="56" t="s">
        <v>41</v>
      </c>
      <c r="C33" s="66"/>
      <c r="D33" s="66"/>
    </row>
    <row r="34" spans="1:4" ht="15.75">
      <c r="A34" s="55">
        <v>29</v>
      </c>
      <c r="B34" s="56" t="s">
        <v>42</v>
      </c>
      <c r="C34" s="66"/>
      <c r="D34" s="66"/>
    </row>
    <row r="35" spans="1:4" ht="15.75">
      <c r="A35" s="55">
        <v>30</v>
      </c>
      <c r="B35" s="56" t="s">
        <v>44</v>
      </c>
      <c r="C35" s="66"/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/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10176.66</v>
      </c>
      <c r="D41" s="67">
        <f>SUM(D6:D40)</f>
        <v>5593.639999999999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1">
      <selection activeCell="D7" sqref="D7:D41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7" t="s">
        <v>82</v>
      </c>
      <c r="B3" s="77"/>
      <c r="C3" s="77"/>
      <c r="D3" s="77"/>
      <c r="E3" s="77"/>
      <c r="F3" s="77"/>
      <c r="G3" s="78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5" t="s">
        <v>0</v>
      </c>
      <c r="B6" s="76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73">
        <v>1</v>
      </c>
      <c r="B7" s="74" t="s">
        <v>6</v>
      </c>
      <c r="C7" s="44">
        <v>8140.14</v>
      </c>
      <c r="D7" s="44">
        <v>6512.13</v>
      </c>
      <c r="E7" s="45">
        <f>C7+D7</f>
        <v>14652.27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2553.92</v>
      </c>
      <c r="D8" s="6">
        <v>2043.34</v>
      </c>
      <c r="E8" s="45">
        <f aca="true" t="shared" si="0" ref="E8:E42">C8+D8</f>
        <v>4597.26</v>
      </c>
      <c r="F8" s="36"/>
      <c r="H8" s="3"/>
    </row>
    <row r="9" spans="1:8" ht="15.75">
      <c r="A9" s="55">
        <v>3</v>
      </c>
      <c r="B9" s="56" t="s">
        <v>8</v>
      </c>
      <c r="C9" s="1">
        <v>3875.38</v>
      </c>
      <c r="D9" s="6">
        <v>3100.36</v>
      </c>
      <c r="E9" s="45">
        <f t="shared" si="0"/>
        <v>6975.74</v>
      </c>
      <c r="F9" s="36"/>
      <c r="H9" s="3"/>
    </row>
    <row r="10" spans="1:8" ht="15.75">
      <c r="A10" s="55">
        <v>4</v>
      </c>
      <c r="B10" s="56" t="s">
        <v>9</v>
      </c>
      <c r="C10" s="6">
        <v>4891.08</v>
      </c>
      <c r="D10" s="6">
        <v>3912.62</v>
      </c>
      <c r="E10" s="45">
        <f t="shared" si="0"/>
        <v>8803.7</v>
      </c>
      <c r="F10" s="36"/>
      <c r="H10" s="3"/>
    </row>
    <row r="11" spans="1:8" ht="15.75">
      <c r="A11" s="55">
        <v>5</v>
      </c>
      <c r="B11" s="56" t="s">
        <v>10</v>
      </c>
      <c r="C11" s="6">
        <v>2397.65</v>
      </c>
      <c r="D11" s="6">
        <v>1918.06</v>
      </c>
      <c r="E11" s="45">
        <f t="shared" si="0"/>
        <v>4315.71</v>
      </c>
      <c r="F11" s="36"/>
      <c r="H11" s="3"/>
    </row>
    <row r="12" spans="1:8" ht="15.75">
      <c r="A12" s="55">
        <v>6</v>
      </c>
      <c r="B12" s="56" t="s">
        <v>11</v>
      </c>
      <c r="C12" s="6">
        <v>5742.57</v>
      </c>
      <c r="D12" s="6">
        <v>4594.11</v>
      </c>
      <c r="E12" s="45">
        <f t="shared" si="0"/>
        <v>10336.68</v>
      </c>
      <c r="F12" s="36"/>
      <c r="H12" s="3"/>
    </row>
    <row r="13" spans="1:8" ht="15.75">
      <c r="A13" s="55">
        <v>7</v>
      </c>
      <c r="B13" s="56" t="s">
        <v>59</v>
      </c>
      <c r="C13" s="6">
        <v>7779.37</v>
      </c>
      <c r="D13" s="6">
        <v>6223.98</v>
      </c>
      <c r="E13" s="45">
        <f t="shared" si="0"/>
        <v>14003.349999999999</v>
      </c>
      <c r="F13" s="36"/>
      <c r="H13" s="3"/>
    </row>
    <row r="14" spans="1:8" ht="15.75">
      <c r="A14" s="55">
        <v>8</v>
      </c>
      <c r="B14" s="56" t="s">
        <v>12</v>
      </c>
      <c r="C14" s="6">
        <v>663.83</v>
      </c>
      <c r="D14" s="6">
        <v>531.11</v>
      </c>
      <c r="E14" s="45">
        <f t="shared" si="0"/>
        <v>1194.94</v>
      </c>
      <c r="F14" s="36"/>
      <c r="H14" s="3"/>
    </row>
    <row r="15" spans="1:8" ht="15.75">
      <c r="A15" s="55">
        <v>9</v>
      </c>
      <c r="B15" s="56" t="s">
        <v>13</v>
      </c>
      <c r="C15" s="6">
        <v>4213.88</v>
      </c>
      <c r="D15" s="6">
        <v>3370.99</v>
      </c>
      <c r="E15" s="45">
        <f t="shared" si="0"/>
        <v>7584.87</v>
      </c>
      <c r="F15" s="36"/>
      <c r="H15" s="3"/>
    </row>
    <row r="16" spans="1:8" ht="15.75">
      <c r="A16" s="55">
        <v>10</v>
      </c>
      <c r="B16" s="56" t="s">
        <v>14</v>
      </c>
      <c r="C16" s="6">
        <v>9197.92</v>
      </c>
      <c r="D16" s="6">
        <v>7359.01</v>
      </c>
      <c r="E16" s="45">
        <f t="shared" si="0"/>
        <v>16556.93</v>
      </c>
      <c r="F16" s="36"/>
      <c r="H16" s="3"/>
    </row>
    <row r="17" spans="1:8" ht="15.75">
      <c r="A17" s="55">
        <v>11</v>
      </c>
      <c r="B17" s="56" t="s">
        <v>15</v>
      </c>
      <c r="C17" s="6">
        <v>5248.79</v>
      </c>
      <c r="D17" s="6">
        <v>4199.02</v>
      </c>
      <c r="E17" s="45">
        <f t="shared" si="0"/>
        <v>9447.810000000001</v>
      </c>
      <c r="F17" s="36"/>
      <c r="H17" s="3"/>
    </row>
    <row r="18" spans="1:8" ht="15.75">
      <c r="A18" s="55">
        <v>12</v>
      </c>
      <c r="B18" s="56" t="s">
        <v>16</v>
      </c>
      <c r="C18" s="6">
        <v>551.79</v>
      </c>
      <c r="D18" s="6">
        <v>441.46</v>
      </c>
      <c r="E18" s="45">
        <f t="shared" si="0"/>
        <v>993.25</v>
      </c>
      <c r="F18" s="36"/>
      <c r="H18" s="3"/>
    </row>
    <row r="19" spans="1:8" ht="15.75">
      <c r="A19" s="55">
        <v>13</v>
      </c>
      <c r="B19" s="56" t="s">
        <v>17</v>
      </c>
      <c r="C19" s="6">
        <v>3553.11</v>
      </c>
      <c r="D19" s="6">
        <v>2842.87</v>
      </c>
      <c r="E19" s="45">
        <f t="shared" si="0"/>
        <v>6395.98</v>
      </c>
      <c r="F19" s="36"/>
      <c r="H19" s="3"/>
    </row>
    <row r="20" spans="1:8" ht="15.75">
      <c r="A20" s="55">
        <v>14</v>
      </c>
      <c r="B20" s="56" t="s">
        <v>18</v>
      </c>
      <c r="C20" s="6">
        <v>4673.7</v>
      </c>
      <c r="D20" s="6">
        <v>3738.72</v>
      </c>
      <c r="E20" s="45">
        <f t="shared" si="0"/>
        <v>8412.42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>
        <v>0</v>
      </c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1223.23</v>
      </c>
      <c r="D22" s="6">
        <v>978.62</v>
      </c>
      <c r="E22" s="45">
        <f t="shared" si="0"/>
        <v>2201.85</v>
      </c>
      <c r="F22" s="36"/>
      <c r="H22" s="3"/>
    </row>
    <row r="23" spans="1:8" ht="15.75">
      <c r="A23" s="55">
        <v>17</v>
      </c>
      <c r="B23" s="56" t="s">
        <v>21</v>
      </c>
      <c r="C23" s="6">
        <v>3273.88</v>
      </c>
      <c r="D23" s="6">
        <v>2619.29</v>
      </c>
      <c r="E23" s="45">
        <f t="shared" si="0"/>
        <v>5893.17</v>
      </c>
      <c r="F23" s="36"/>
      <c r="H23" s="3"/>
    </row>
    <row r="24" spans="1:8" ht="15.75">
      <c r="A24" s="55">
        <v>18</v>
      </c>
      <c r="B24" s="56" t="s">
        <v>22</v>
      </c>
      <c r="C24" s="6">
        <v>6058.41</v>
      </c>
      <c r="D24" s="6">
        <v>4847.43</v>
      </c>
      <c r="E24" s="45">
        <f t="shared" si="0"/>
        <v>10905.84</v>
      </c>
      <c r="F24" s="36"/>
      <c r="H24" s="3"/>
    </row>
    <row r="25" spans="1:8" ht="15.75">
      <c r="A25" s="55">
        <v>19</v>
      </c>
      <c r="B25" s="56" t="s">
        <v>23</v>
      </c>
      <c r="C25" s="6">
        <v>825.78</v>
      </c>
      <c r="D25" s="6">
        <v>660.62</v>
      </c>
      <c r="E25" s="45">
        <f t="shared" si="0"/>
        <v>1486.4</v>
      </c>
      <c r="F25" s="36"/>
      <c r="H25" s="3"/>
    </row>
    <row r="26" spans="1:8" ht="15.75">
      <c r="A26" s="55">
        <v>20</v>
      </c>
      <c r="B26" s="56" t="s">
        <v>24</v>
      </c>
      <c r="C26" s="6">
        <v>1968.1</v>
      </c>
      <c r="D26" s="6">
        <v>1574.47</v>
      </c>
      <c r="E26" s="45">
        <f t="shared" si="0"/>
        <v>3542.5699999999997</v>
      </c>
      <c r="F26" s="36"/>
      <c r="H26" s="3"/>
    </row>
    <row r="27" spans="1:8" ht="15.75">
      <c r="A27" s="55">
        <v>21</v>
      </c>
      <c r="B27" s="56" t="s">
        <v>25</v>
      </c>
      <c r="C27" s="6">
        <v>5077.34</v>
      </c>
      <c r="D27" s="6">
        <v>4063.11</v>
      </c>
      <c r="E27" s="45">
        <f t="shared" si="0"/>
        <v>9140.45</v>
      </c>
      <c r="F27" s="36"/>
      <c r="H27" s="3"/>
    </row>
    <row r="28" spans="1:8" ht="15.75">
      <c r="A28" s="55">
        <v>22</v>
      </c>
      <c r="B28" s="56" t="s">
        <v>26</v>
      </c>
      <c r="C28" s="6">
        <v>37.57</v>
      </c>
      <c r="D28" s="6">
        <v>30.05</v>
      </c>
      <c r="E28" s="45">
        <f t="shared" si="0"/>
        <v>67.62</v>
      </c>
      <c r="F28" s="36"/>
      <c r="H28" s="3"/>
    </row>
    <row r="29" spans="1:8" ht="15.75">
      <c r="A29" s="55">
        <v>23</v>
      </c>
      <c r="B29" s="56" t="s">
        <v>27</v>
      </c>
      <c r="C29" s="6">
        <v>1909.94</v>
      </c>
      <c r="D29" s="6">
        <v>1528.01</v>
      </c>
      <c r="E29" s="45">
        <f t="shared" si="0"/>
        <v>3437.95</v>
      </c>
      <c r="F29" s="36"/>
      <c r="H29" s="3"/>
    </row>
    <row r="30" spans="1:8" ht="15.75">
      <c r="A30" s="55">
        <v>24</v>
      </c>
      <c r="B30" s="56" t="s">
        <v>28</v>
      </c>
      <c r="C30" s="6">
        <v>2819.69</v>
      </c>
      <c r="D30" s="6">
        <v>2255.55</v>
      </c>
      <c r="E30" s="45">
        <f t="shared" si="0"/>
        <v>5075.24</v>
      </c>
      <c r="F30" s="36"/>
      <c r="H30" s="3"/>
    </row>
    <row r="31" spans="1:8" ht="15.75">
      <c r="A31" s="55">
        <v>25</v>
      </c>
      <c r="B31" s="56" t="s">
        <v>29</v>
      </c>
      <c r="C31" s="6">
        <v>8849.09</v>
      </c>
      <c r="D31" s="6">
        <v>7079.33</v>
      </c>
      <c r="E31" s="45">
        <f t="shared" si="0"/>
        <v>15928.42</v>
      </c>
      <c r="F31" s="36"/>
      <c r="H31" s="3"/>
    </row>
    <row r="32" spans="1:8" ht="15.75">
      <c r="A32" s="55">
        <v>26</v>
      </c>
      <c r="B32" s="56" t="s">
        <v>30</v>
      </c>
      <c r="C32" s="6">
        <v>9027.81</v>
      </c>
      <c r="D32" s="6">
        <v>7222.45</v>
      </c>
      <c r="E32" s="45">
        <f t="shared" si="0"/>
        <v>16250.259999999998</v>
      </c>
      <c r="F32" s="36"/>
      <c r="H32" s="3"/>
    </row>
    <row r="33" spans="1:8" ht="15.75">
      <c r="A33" s="55">
        <v>27</v>
      </c>
      <c r="B33" s="56" t="s">
        <v>40</v>
      </c>
      <c r="C33" s="6">
        <v>417.74</v>
      </c>
      <c r="D33" s="6">
        <v>334.17</v>
      </c>
      <c r="E33" s="45">
        <f t="shared" si="0"/>
        <v>751.9100000000001</v>
      </c>
      <c r="F33" s="36"/>
      <c r="H33" s="3"/>
    </row>
    <row r="34" spans="1:8" ht="15.75">
      <c r="A34" s="55">
        <v>28</v>
      </c>
      <c r="B34" s="56" t="s">
        <v>41</v>
      </c>
      <c r="C34" s="6">
        <v>5574.64</v>
      </c>
      <c r="D34" s="6">
        <v>4460.16</v>
      </c>
      <c r="E34" s="45">
        <f t="shared" si="0"/>
        <v>10034.8</v>
      </c>
      <c r="F34" s="36"/>
      <c r="H34" s="3"/>
    </row>
    <row r="35" spans="1:8" ht="15.75">
      <c r="A35" s="55">
        <v>29</v>
      </c>
      <c r="B35" s="56" t="s">
        <v>42</v>
      </c>
      <c r="C35" s="6">
        <v>4650.53</v>
      </c>
      <c r="D35" s="6">
        <v>3720.42</v>
      </c>
      <c r="E35" s="45">
        <f t="shared" si="0"/>
        <v>8370.95</v>
      </c>
      <c r="F35" s="36"/>
      <c r="H35" s="3"/>
    </row>
    <row r="36" spans="1:8" ht="15.75">
      <c r="A36" s="55">
        <v>30</v>
      </c>
      <c r="B36" s="56" t="s">
        <v>44</v>
      </c>
      <c r="C36" s="6">
        <v>1481.71</v>
      </c>
      <c r="D36" s="6">
        <v>1185.48</v>
      </c>
      <c r="E36" s="45">
        <f t="shared" si="0"/>
        <v>2667.19</v>
      </c>
      <c r="F36" s="36"/>
      <c r="H36" s="3"/>
    </row>
    <row r="37" spans="1:8" ht="15.75">
      <c r="A37" s="55">
        <v>31</v>
      </c>
      <c r="B37" s="56" t="s">
        <v>45</v>
      </c>
      <c r="C37" s="6"/>
      <c r="D37" s="6">
        <v>0</v>
      </c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2753.65</v>
      </c>
      <c r="D38" s="6">
        <v>2203.05</v>
      </c>
      <c r="E38" s="45">
        <f t="shared" si="0"/>
        <v>4956.700000000001</v>
      </c>
      <c r="F38" s="36"/>
      <c r="H38" s="3"/>
    </row>
    <row r="39" spans="1:8" ht="15.75">
      <c r="A39" s="55">
        <v>33</v>
      </c>
      <c r="B39" s="56" t="s">
        <v>60</v>
      </c>
      <c r="C39" s="6">
        <v>221.81</v>
      </c>
      <c r="D39" s="6">
        <v>177.45</v>
      </c>
      <c r="E39" s="45">
        <f t="shared" si="0"/>
        <v>399.26</v>
      </c>
      <c r="F39" s="36"/>
      <c r="H39" s="3"/>
    </row>
    <row r="40" spans="1:8" ht="15.75">
      <c r="A40" s="55">
        <v>34</v>
      </c>
      <c r="B40" s="56" t="s">
        <v>61</v>
      </c>
      <c r="C40" s="6">
        <v>882.71</v>
      </c>
      <c r="D40" s="6">
        <v>706.19</v>
      </c>
      <c r="E40" s="45">
        <f t="shared" si="0"/>
        <v>1588.9</v>
      </c>
      <c r="F40" s="36"/>
      <c r="H40" s="3"/>
    </row>
    <row r="41" spans="1:8" ht="15.75">
      <c r="A41" s="55">
        <v>35</v>
      </c>
      <c r="B41" s="56" t="s">
        <v>71</v>
      </c>
      <c r="C41" s="6">
        <v>35.25</v>
      </c>
      <c r="D41" s="6">
        <v>28.2</v>
      </c>
      <c r="E41" s="45">
        <f t="shared" si="0"/>
        <v>63.45</v>
      </c>
      <c r="F41" s="36"/>
      <c r="H41" s="3"/>
    </row>
    <row r="42" spans="1:8" ht="15.75">
      <c r="A42" s="57"/>
      <c r="B42" s="57" t="s">
        <v>31</v>
      </c>
      <c r="C42" s="68">
        <f>SUM(C7:C41)</f>
        <v>120572.01000000002</v>
      </c>
      <c r="D42" s="68">
        <f>SUM(D7:D41)</f>
        <v>96461.83000000002</v>
      </c>
      <c r="E42" s="45">
        <f t="shared" si="0"/>
        <v>217033.84000000003</v>
      </c>
      <c r="F42" s="36"/>
      <c r="H42" s="3"/>
    </row>
    <row r="44" ht="12.75">
      <c r="D44" s="3"/>
    </row>
    <row r="45" spans="3:5" ht="12.75">
      <c r="C45" s="3"/>
      <c r="E45" s="3"/>
    </row>
    <row r="46" spans="4:5" ht="12.75">
      <c r="D46" s="3"/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6" sqref="B6:C40"/>
    </sheetView>
  </sheetViews>
  <sheetFormatPr defaultColWidth="9.140625" defaultRowHeight="12.75"/>
  <cols>
    <col min="1" max="1" width="31.28125" style="0" bestFit="1" customWidth="1"/>
    <col min="2" max="2" width="13.7109375" style="0" bestFit="1" customWidth="1"/>
    <col min="3" max="3" width="11.8515625" style="0" customWidth="1"/>
    <col min="4" max="4" width="12.28125" style="0" customWidth="1"/>
    <col min="6" max="6" width="12.7109375" style="0" customWidth="1"/>
    <col min="10" max="10" width="13.7109375" style="0" customWidth="1"/>
  </cols>
  <sheetData>
    <row r="2" spans="1:10" ht="33.75" customHeight="1">
      <c r="A2" s="79" t="s">
        <v>83</v>
      </c>
      <c r="B2" s="80"/>
      <c r="C2" s="80"/>
      <c r="D2" s="80"/>
      <c r="E2" s="80"/>
      <c r="F2" s="80"/>
      <c r="G2" s="80"/>
      <c r="H2" s="80"/>
      <c r="I2" s="80"/>
      <c r="J2" s="80"/>
    </row>
    <row r="3" spans="1:5" ht="15">
      <c r="A3" s="35"/>
      <c r="B3" s="35"/>
      <c r="C3" s="34"/>
      <c r="D3" s="34"/>
      <c r="E3" s="34"/>
    </row>
    <row r="4" spans="1:5" ht="15" thickBot="1">
      <c r="A4" s="36"/>
      <c r="B4" s="37"/>
      <c r="C4" s="36"/>
      <c r="D4" s="38"/>
      <c r="E4" s="36"/>
    </row>
    <row r="5" spans="1:5" ht="60.75" thickBot="1">
      <c r="A5" s="51" t="s">
        <v>1</v>
      </c>
      <c r="B5" s="46" t="s">
        <v>32</v>
      </c>
      <c r="C5" s="46" t="s">
        <v>33</v>
      </c>
      <c r="D5" s="47" t="s">
        <v>78</v>
      </c>
      <c r="E5" s="36"/>
    </row>
    <row r="6" spans="1:5" ht="15.75">
      <c r="A6" s="56" t="s">
        <v>6</v>
      </c>
      <c r="B6" s="44">
        <v>171.82</v>
      </c>
      <c r="C6" s="44">
        <v>137.46</v>
      </c>
      <c r="D6" s="45">
        <f>B6+C6</f>
        <v>309.28</v>
      </c>
      <c r="E6" s="36"/>
    </row>
    <row r="7" spans="1:5" ht="15.75">
      <c r="A7" s="56" t="s">
        <v>7</v>
      </c>
      <c r="B7" s="6"/>
      <c r="C7" s="6"/>
      <c r="D7" s="45">
        <f aca="true" t="shared" si="0" ref="D7:D41">B7+C7</f>
        <v>0</v>
      </c>
      <c r="E7" s="36"/>
    </row>
    <row r="8" spans="1:5" ht="15.75">
      <c r="A8" s="56" t="s">
        <v>8</v>
      </c>
      <c r="B8" s="1"/>
      <c r="C8" s="6"/>
      <c r="D8" s="45">
        <f t="shared" si="0"/>
        <v>0</v>
      </c>
      <c r="E8" s="36"/>
    </row>
    <row r="9" spans="1:5" ht="15.75">
      <c r="A9" s="56" t="s">
        <v>9</v>
      </c>
      <c r="B9" s="6"/>
      <c r="C9" s="6"/>
      <c r="D9" s="45">
        <f t="shared" si="0"/>
        <v>0</v>
      </c>
      <c r="E9" s="36"/>
    </row>
    <row r="10" spans="1:5" ht="15.75">
      <c r="A10" s="56" t="s">
        <v>10</v>
      </c>
      <c r="B10" s="6">
        <v>85.91</v>
      </c>
      <c r="C10" s="6">
        <v>68.73</v>
      </c>
      <c r="D10" s="45">
        <f t="shared" si="0"/>
        <v>154.64</v>
      </c>
      <c r="E10" s="36"/>
    </row>
    <row r="11" spans="1:5" ht="15.75">
      <c r="A11" s="56" t="s">
        <v>11</v>
      </c>
      <c r="B11" s="6">
        <v>171.82</v>
      </c>
      <c r="C11" s="6">
        <v>137.46</v>
      </c>
      <c r="D11" s="45">
        <f t="shared" si="0"/>
        <v>309.28</v>
      </c>
      <c r="E11" s="36"/>
    </row>
    <row r="12" spans="1:5" ht="15.75">
      <c r="A12" s="56" t="s">
        <v>59</v>
      </c>
      <c r="B12" s="6">
        <v>150.73</v>
      </c>
      <c r="C12" s="6">
        <v>120.58</v>
      </c>
      <c r="D12" s="45">
        <f t="shared" si="0"/>
        <v>271.31</v>
      </c>
      <c r="E12" s="36"/>
    </row>
    <row r="13" spans="1:5" ht="15.75">
      <c r="A13" s="56" t="s">
        <v>12</v>
      </c>
      <c r="B13" s="6"/>
      <c r="C13" s="6"/>
      <c r="D13" s="45">
        <f t="shared" si="0"/>
        <v>0</v>
      </c>
      <c r="E13" s="36"/>
    </row>
    <row r="14" spans="1:5" ht="15.75">
      <c r="A14" s="56" t="s">
        <v>13</v>
      </c>
      <c r="B14" s="6"/>
      <c r="C14" s="6"/>
      <c r="D14" s="45">
        <f t="shared" si="0"/>
        <v>0</v>
      </c>
      <c r="E14" s="36"/>
    </row>
    <row r="15" spans="1:5" ht="15.75">
      <c r="A15" s="56" t="s">
        <v>14</v>
      </c>
      <c r="B15" s="6">
        <v>160.37</v>
      </c>
      <c r="C15" s="6">
        <v>128.29</v>
      </c>
      <c r="D15" s="45">
        <f t="shared" si="0"/>
        <v>288.65999999999997</v>
      </c>
      <c r="E15" s="36"/>
    </row>
    <row r="16" spans="1:5" ht="15.75">
      <c r="A16" s="56" t="s">
        <v>15</v>
      </c>
      <c r="B16" s="6"/>
      <c r="C16" s="6"/>
      <c r="D16" s="45">
        <f t="shared" si="0"/>
        <v>0</v>
      </c>
      <c r="E16" s="36"/>
    </row>
    <row r="17" spans="1:5" ht="15.75">
      <c r="A17" s="56" t="s">
        <v>16</v>
      </c>
      <c r="B17" s="6"/>
      <c r="C17" s="6"/>
      <c r="D17" s="45">
        <f t="shared" si="0"/>
        <v>0</v>
      </c>
      <c r="E17" s="36"/>
    </row>
    <row r="18" spans="1:5" ht="15.75">
      <c r="A18" s="56" t="s">
        <v>17</v>
      </c>
      <c r="B18" s="6"/>
      <c r="C18" s="6"/>
      <c r="D18" s="45">
        <f t="shared" si="0"/>
        <v>0</v>
      </c>
      <c r="E18" s="36"/>
    </row>
    <row r="19" spans="1:5" ht="15.75">
      <c r="A19" s="56" t="s">
        <v>18</v>
      </c>
      <c r="B19" s="6">
        <v>292.04</v>
      </c>
      <c r="C19" s="6">
        <v>233.62</v>
      </c>
      <c r="D19" s="45">
        <f t="shared" si="0"/>
        <v>525.6600000000001</v>
      </c>
      <c r="E19" s="36"/>
    </row>
    <row r="20" spans="1:5" ht="15.75">
      <c r="A20" s="56" t="s">
        <v>19</v>
      </c>
      <c r="B20" s="6"/>
      <c r="C20" s="6"/>
      <c r="D20" s="45">
        <f t="shared" si="0"/>
        <v>0</v>
      </c>
      <c r="E20" s="36"/>
    </row>
    <row r="21" spans="1:5" ht="15.75">
      <c r="A21" s="56" t="s">
        <v>20</v>
      </c>
      <c r="B21" s="6"/>
      <c r="C21" s="6"/>
      <c r="D21" s="45">
        <f t="shared" si="0"/>
        <v>0</v>
      </c>
      <c r="E21" s="36"/>
    </row>
    <row r="22" spans="1:5" ht="15.75">
      <c r="A22" s="56" t="s">
        <v>21</v>
      </c>
      <c r="B22" s="6"/>
      <c r="C22" s="6"/>
      <c r="D22" s="45">
        <f t="shared" si="0"/>
        <v>0</v>
      </c>
      <c r="E22" s="36"/>
    </row>
    <row r="23" spans="1:5" ht="15.75">
      <c r="A23" s="56" t="s">
        <v>22</v>
      </c>
      <c r="B23" s="6">
        <v>140.67</v>
      </c>
      <c r="C23" s="6">
        <v>112.54</v>
      </c>
      <c r="D23" s="45">
        <f t="shared" si="0"/>
        <v>253.20999999999998</v>
      </c>
      <c r="E23" s="36"/>
    </row>
    <row r="24" spans="1:5" ht="15.75">
      <c r="A24" s="56" t="s">
        <v>23</v>
      </c>
      <c r="B24" s="6"/>
      <c r="C24" s="6"/>
      <c r="D24" s="45">
        <f t="shared" si="0"/>
        <v>0</v>
      </c>
      <c r="E24" s="36"/>
    </row>
    <row r="25" spans="1:5" ht="15.75">
      <c r="A25" s="56" t="s">
        <v>24</v>
      </c>
      <c r="B25" s="6">
        <v>150.73</v>
      </c>
      <c r="C25" s="6">
        <v>120.58</v>
      </c>
      <c r="D25" s="45">
        <f t="shared" si="0"/>
        <v>271.31</v>
      </c>
      <c r="E25" s="36"/>
    </row>
    <row r="26" spans="1:5" ht="15.75">
      <c r="A26" s="56" t="s">
        <v>25</v>
      </c>
      <c r="B26" s="6">
        <v>292.02</v>
      </c>
      <c r="C26" s="6">
        <v>233.62</v>
      </c>
      <c r="D26" s="45">
        <f t="shared" si="0"/>
        <v>525.64</v>
      </c>
      <c r="E26" s="36"/>
    </row>
    <row r="27" spans="1:5" ht="15.75">
      <c r="A27" s="56" t="s">
        <v>26</v>
      </c>
      <c r="B27" s="6"/>
      <c r="C27" s="6"/>
      <c r="D27" s="45">
        <f t="shared" si="0"/>
        <v>0</v>
      </c>
      <c r="E27" s="36"/>
    </row>
    <row r="28" spans="1:5" ht="15.75">
      <c r="A28" s="56" t="s">
        <v>27</v>
      </c>
      <c r="B28" s="6"/>
      <c r="C28" s="6"/>
      <c r="D28" s="45">
        <f t="shared" si="0"/>
        <v>0</v>
      </c>
      <c r="E28" s="36"/>
    </row>
    <row r="29" spans="1:5" ht="15.75">
      <c r="A29" s="56" t="s">
        <v>28</v>
      </c>
      <c r="B29" s="6"/>
      <c r="C29" s="6"/>
      <c r="D29" s="45">
        <f t="shared" si="0"/>
        <v>0</v>
      </c>
      <c r="E29" s="36"/>
    </row>
    <row r="30" spans="1:5" ht="15.75">
      <c r="A30" s="56" t="s">
        <v>29</v>
      </c>
      <c r="B30" s="6">
        <v>141.31</v>
      </c>
      <c r="C30" s="6">
        <v>113.04</v>
      </c>
      <c r="D30" s="45">
        <f t="shared" si="0"/>
        <v>254.35000000000002</v>
      </c>
      <c r="E30" s="36"/>
    </row>
    <row r="31" spans="1:5" ht="15.75">
      <c r="A31" s="56" t="s">
        <v>30</v>
      </c>
      <c r="B31" s="6">
        <v>320.74</v>
      </c>
      <c r="C31" s="6">
        <v>256.58</v>
      </c>
      <c r="D31" s="45">
        <f t="shared" si="0"/>
        <v>577.3199999999999</v>
      </c>
      <c r="E31" s="36"/>
    </row>
    <row r="32" spans="1:5" ht="15.75">
      <c r="A32" s="56" t="s">
        <v>40</v>
      </c>
      <c r="B32" s="6"/>
      <c r="C32" s="6"/>
      <c r="D32" s="45">
        <f t="shared" si="0"/>
        <v>0</v>
      </c>
      <c r="E32" s="36"/>
    </row>
    <row r="33" spans="1:5" ht="15.75">
      <c r="A33" s="56" t="s">
        <v>41</v>
      </c>
      <c r="B33" s="6"/>
      <c r="C33" s="6"/>
      <c r="D33" s="45">
        <f t="shared" si="0"/>
        <v>0</v>
      </c>
      <c r="E33" s="36"/>
    </row>
    <row r="34" spans="1:5" ht="15.75">
      <c r="A34" s="56" t="s">
        <v>42</v>
      </c>
      <c r="B34" s="6"/>
      <c r="C34" s="6"/>
      <c r="D34" s="45">
        <f t="shared" si="0"/>
        <v>0</v>
      </c>
      <c r="E34" s="36"/>
    </row>
    <row r="35" spans="1:5" ht="15.75">
      <c r="A35" s="56" t="s">
        <v>44</v>
      </c>
      <c r="B35" s="6">
        <v>160.37</v>
      </c>
      <c r="C35" s="6">
        <v>128.29</v>
      </c>
      <c r="D35" s="45">
        <f t="shared" si="0"/>
        <v>288.65999999999997</v>
      </c>
      <c r="E35" s="36"/>
    </row>
    <row r="36" spans="1:5" ht="15.75">
      <c r="A36" s="56" t="s">
        <v>45</v>
      </c>
      <c r="B36" s="6"/>
      <c r="C36" s="6"/>
      <c r="D36" s="45">
        <f t="shared" si="0"/>
        <v>0</v>
      </c>
      <c r="E36" s="36"/>
    </row>
    <row r="37" spans="1:5" ht="15.75">
      <c r="A37" s="56" t="s">
        <v>47</v>
      </c>
      <c r="B37" s="6"/>
      <c r="C37" s="6"/>
      <c r="D37" s="45">
        <f t="shared" si="0"/>
        <v>0</v>
      </c>
      <c r="E37" s="36"/>
    </row>
    <row r="38" spans="1:5" ht="15.75">
      <c r="A38" s="56" t="s">
        <v>60</v>
      </c>
      <c r="B38" s="6"/>
      <c r="C38" s="6"/>
      <c r="D38" s="45">
        <f t="shared" si="0"/>
        <v>0</v>
      </c>
      <c r="E38" s="36"/>
    </row>
    <row r="39" spans="1:5" ht="15.75">
      <c r="A39" s="56" t="s">
        <v>61</v>
      </c>
      <c r="B39" s="6"/>
      <c r="C39" s="6"/>
      <c r="D39" s="45">
        <f t="shared" si="0"/>
        <v>0</v>
      </c>
      <c r="E39" s="36"/>
    </row>
    <row r="40" spans="1:5" ht="15.75">
      <c r="A40" s="56" t="s">
        <v>71</v>
      </c>
      <c r="B40" s="6"/>
      <c r="C40" s="6"/>
      <c r="D40" s="45">
        <f t="shared" si="0"/>
        <v>0</v>
      </c>
      <c r="E40" s="36"/>
    </row>
    <row r="41" spans="1:5" ht="15.75">
      <c r="A41" s="57" t="s">
        <v>31</v>
      </c>
      <c r="B41" s="68">
        <f>SUM(B6:B40)</f>
        <v>2238.5299999999997</v>
      </c>
      <c r="C41" s="68">
        <f>SUM(C6:C40)</f>
        <v>1790.79</v>
      </c>
      <c r="D41" s="45">
        <f t="shared" si="0"/>
        <v>4029.3199999999997</v>
      </c>
      <c r="E41" s="36"/>
    </row>
    <row r="44" spans="2:4" ht="12.75">
      <c r="B44" s="3"/>
      <c r="C44" s="3"/>
      <c r="D44" s="3"/>
    </row>
    <row r="45" spans="3:4" ht="12.75">
      <c r="C45" s="3"/>
      <c r="D45" s="3"/>
    </row>
    <row r="46" ht="12.75">
      <c r="D46" s="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G17" sqref="G17:G18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1" t="s">
        <v>88</v>
      </c>
      <c r="B3" s="81"/>
      <c r="C3" s="81"/>
      <c r="D3" s="81"/>
      <c r="E3" s="81"/>
      <c r="F3" s="81"/>
      <c r="G3" s="81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9">
        <v>37170.54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9">
        <v>14913.38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9">
        <v>5361.92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9">
        <v>5418.56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9">
        <v>10732.84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9">
        <v>77050.53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69">
        <v>36525.72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9">
        <v>41591.8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9">
        <v>24796.9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9">
        <v>35043.04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9">
        <v>25252.63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9">
        <v>2336.65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9">
        <v>20035.36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9">
        <v>256.19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9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9">
        <v>3262.92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9">
        <v>9526.31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9">
        <v>31274.34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9">
        <v>3306.58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9">
        <v>2333.07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9">
        <v>23701.71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9">
        <v>15905.68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9">
        <v>10851.01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9">
        <v>4656.25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9">
        <v>15740.51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69">
        <v>16602.27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9">
        <v>363.16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9">
        <v>21418.75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69">
        <v>13411.33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69">
        <v>612.76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69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69">
        <v>2347.7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69">
        <v>1309.77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69">
        <v>2199.69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69">
        <v>661.79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515971.6600000001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spans="3:4" ht="12.75">
      <c r="C44" s="3"/>
      <c r="D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1">
      <selection activeCell="I28" sqref="I28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82" t="s">
        <v>84</v>
      </c>
      <c r="B4" s="82"/>
      <c r="C4" s="82"/>
      <c r="D4" s="82"/>
      <c r="E4" s="82"/>
      <c r="F4" s="82"/>
      <c r="G4" s="82"/>
      <c r="H4" s="82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16795.65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454.46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6">
        <v>524.54</v>
      </c>
    </row>
    <row r="10" spans="1:3" ht="15.75">
      <c r="A10" s="55">
        <v>4</v>
      </c>
      <c r="B10" s="56" t="s">
        <v>9</v>
      </c>
      <c r="C10" s="66"/>
    </row>
    <row r="11" spans="1:3" ht="15.75">
      <c r="A11" s="55">
        <v>5</v>
      </c>
      <c r="B11" s="56" t="s">
        <v>10</v>
      </c>
      <c r="C11" s="66">
        <v>3209.47</v>
      </c>
    </row>
    <row r="12" spans="1:3" ht="15.75">
      <c r="A12" s="55">
        <v>6</v>
      </c>
      <c r="B12" s="56" t="s">
        <v>11</v>
      </c>
      <c r="C12" s="66">
        <v>9977.2</v>
      </c>
    </row>
    <row r="13" spans="1:3" ht="15.75">
      <c r="A13" s="55">
        <v>7</v>
      </c>
      <c r="B13" s="56" t="s">
        <v>59</v>
      </c>
      <c r="C13" s="66">
        <v>3876.32</v>
      </c>
    </row>
    <row r="14" spans="1:3" ht="15.75">
      <c r="A14" s="55">
        <v>8</v>
      </c>
      <c r="B14" s="56" t="s">
        <v>12</v>
      </c>
      <c r="C14" s="66">
        <v>20768.51</v>
      </c>
    </row>
    <row r="15" spans="1:3" ht="15.75">
      <c r="A15" s="55">
        <v>9</v>
      </c>
      <c r="B15" s="56" t="s">
        <v>13</v>
      </c>
      <c r="C15" s="66">
        <v>6153.97</v>
      </c>
    </row>
    <row r="16" spans="1:3" ht="15.75">
      <c r="A16" s="55">
        <v>10</v>
      </c>
      <c r="B16" s="56" t="s">
        <v>14</v>
      </c>
      <c r="C16" s="66">
        <v>24064.89</v>
      </c>
    </row>
    <row r="17" spans="1:3" ht="15.75">
      <c r="A17" s="55">
        <v>11</v>
      </c>
      <c r="B17" s="56" t="s">
        <v>15</v>
      </c>
      <c r="C17" s="66">
        <v>9981.12</v>
      </c>
    </row>
    <row r="18" spans="1:3" ht="15.75">
      <c r="A18" s="55">
        <v>12</v>
      </c>
      <c r="B18" s="56" t="s">
        <v>16</v>
      </c>
      <c r="C18" s="66">
        <v>4044.18</v>
      </c>
    </row>
    <row r="19" spans="1:3" ht="15.75">
      <c r="A19" s="55">
        <v>13</v>
      </c>
      <c r="B19" s="56" t="s">
        <v>17</v>
      </c>
      <c r="C19" s="66">
        <v>11044.82</v>
      </c>
    </row>
    <row r="20" spans="1:3" ht="15.75">
      <c r="A20" s="55">
        <v>14</v>
      </c>
      <c r="B20" s="56" t="s">
        <v>18</v>
      </c>
      <c r="C20" s="66"/>
    </row>
    <row r="21" spans="1:3" ht="15.75">
      <c r="A21" s="55">
        <v>15</v>
      </c>
      <c r="B21" s="56" t="s">
        <v>19</v>
      </c>
      <c r="C21" s="66"/>
    </row>
    <row r="22" spans="1:3" ht="15.75">
      <c r="A22" s="55">
        <v>16</v>
      </c>
      <c r="B22" s="56" t="s">
        <v>20</v>
      </c>
      <c r="C22" s="66"/>
    </row>
    <row r="23" spans="1:3" ht="15.75">
      <c r="A23" s="55">
        <v>17</v>
      </c>
      <c r="B23" s="56" t="s">
        <v>21</v>
      </c>
      <c r="C23" s="66">
        <v>4405.15</v>
      </c>
    </row>
    <row r="24" spans="1:3" ht="15.75">
      <c r="A24" s="55">
        <v>18</v>
      </c>
      <c r="B24" s="56" t="s">
        <v>22</v>
      </c>
      <c r="C24" s="66">
        <v>2923.09</v>
      </c>
    </row>
    <row r="25" spans="1:3" ht="15.75">
      <c r="A25" s="55">
        <v>19</v>
      </c>
      <c r="B25" s="56" t="s">
        <v>23</v>
      </c>
      <c r="C25" s="66">
        <v>441.95</v>
      </c>
    </row>
    <row r="26" spans="1:3" ht="15.75">
      <c r="A26" s="55">
        <v>20</v>
      </c>
      <c r="B26" s="56" t="s">
        <v>24</v>
      </c>
      <c r="C26" s="66"/>
    </row>
    <row r="27" spans="1:3" ht="15.75">
      <c r="A27" s="55">
        <v>21</v>
      </c>
      <c r="B27" s="56" t="s">
        <v>25</v>
      </c>
      <c r="C27" s="66">
        <v>2802.25</v>
      </c>
    </row>
    <row r="28" spans="1:3" ht="15.75">
      <c r="A28" s="55">
        <v>22</v>
      </c>
      <c r="B28" s="56" t="s">
        <v>26</v>
      </c>
      <c r="C28" s="66">
        <v>5093.59</v>
      </c>
    </row>
    <row r="29" spans="1:3" ht="15.75">
      <c r="A29" s="55">
        <v>23</v>
      </c>
      <c r="B29" s="56" t="s">
        <v>27</v>
      </c>
      <c r="C29" s="66">
        <v>1647.8</v>
      </c>
    </row>
    <row r="30" spans="1:3" ht="15.75">
      <c r="A30" s="55">
        <v>24</v>
      </c>
      <c r="B30" s="56" t="s">
        <v>28</v>
      </c>
      <c r="C30" s="66"/>
    </row>
    <row r="31" spans="1:3" ht="15.75">
      <c r="A31" s="55">
        <v>25</v>
      </c>
      <c r="B31" s="56" t="s">
        <v>29</v>
      </c>
      <c r="C31" s="66">
        <v>12321.1</v>
      </c>
    </row>
    <row r="32" spans="1:3" ht="15.75">
      <c r="A32" s="55">
        <v>26</v>
      </c>
      <c r="B32" s="56" t="s">
        <v>30</v>
      </c>
      <c r="C32" s="66">
        <v>1651.26</v>
      </c>
    </row>
    <row r="33" spans="1:3" ht="15.75">
      <c r="A33" s="55">
        <v>27</v>
      </c>
      <c r="B33" s="56" t="s">
        <v>40</v>
      </c>
      <c r="C33" s="66"/>
    </row>
    <row r="34" spans="1:3" ht="15.75">
      <c r="A34" s="55">
        <v>28</v>
      </c>
      <c r="B34" s="56" t="s">
        <v>41</v>
      </c>
      <c r="C34" s="66">
        <v>6663.89</v>
      </c>
    </row>
    <row r="35" spans="1:3" ht="15.75">
      <c r="A35" s="55">
        <v>29</v>
      </c>
      <c r="B35" s="56" t="s">
        <v>42</v>
      </c>
      <c r="C35" s="66">
        <v>3221.26</v>
      </c>
    </row>
    <row r="36" spans="1:3" ht="15.75">
      <c r="A36" s="55">
        <v>30</v>
      </c>
      <c r="B36" s="56" t="s">
        <v>44</v>
      </c>
      <c r="C36" s="66">
        <v>599.47</v>
      </c>
    </row>
    <row r="37" spans="1:3" ht="15.75">
      <c r="A37" s="55">
        <v>31</v>
      </c>
      <c r="B37" s="56" t="s">
        <v>45</v>
      </c>
      <c r="C37" s="66"/>
    </row>
    <row r="38" spans="1:3" ht="15.75">
      <c r="A38" s="55">
        <v>32</v>
      </c>
      <c r="B38" s="56" t="s">
        <v>47</v>
      </c>
      <c r="C38" s="66"/>
    </row>
    <row r="39" spans="1:3" ht="15.75">
      <c r="A39" s="55">
        <v>33</v>
      </c>
      <c r="B39" s="56" t="s">
        <v>60</v>
      </c>
      <c r="C39" s="66"/>
    </row>
    <row r="40" spans="1:3" ht="15.75">
      <c r="A40" s="55">
        <v>34</v>
      </c>
      <c r="B40" s="56" t="s">
        <v>61</v>
      </c>
      <c r="C40" s="66"/>
    </row>
    <row r="41" spans="1:3" ht="15.75">
      <c r="A41" s="55">
        <v>35</v>
      </c>
      <c r="B41" s="56" t="s">
        <v>71</v>
      </c>
      <c r="C41" s="66"/>
    </row>
    <row r="42" spans="1:3" ht="15.75">
      <c r="A42" s="57"/>
      <c r="B42" s="57" t="s">
        <v>31</v>
      </c>
      <c r="C42" s="67">
        <f>SUM(C7:C41)</f>
        <v>152665.94000000003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A3" sqref="A3:G41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2" t="s">
        <v>85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29061.57</v>
      </c>
      <c r="D6" s="6">
        <v>51737.5</v>
      </c>
      <c r="E6" s="7">
        <f>C6+D6</f>
        <v>80799.07</v>
      </c>
      <c r="F6" s="36"/>
      <c r="G6" s="36"/>
    </row>
    <row r="7" spans="1:7" ht="15.75">
      <c r="A7" s="55">
        <v>2</v>
      </c>
      <c r="B7" s="56" t="s">
        <v>7</v>
      </c>
      <c r="C7" s="6">
        <f>6761.71+3937.89</f>
        <v>10699.6</v>
      </c>
      <c r="D7" s="6">
        <f>10758.28+3599.3</f>
        <v>14357.580000000002</v>
      </c>
      <c r="E7" s="7">
        <f aca="true" t="shared" si="0" ref="E7:E40">C7+D7</f>
        <v>25057.18</v>
      </c>
      <c r="F7" s="36"/>
      <c r="G7" s="36"/>
    </row>
    <row r="8" spans="1:7" ht="15.75">
      <c r="A8" s="55">
        <v>3</v>
      </c>
      <c r="B8" s="56" t="s">
        <v>8</v>
      </c>
      <c r="C8" s="6">
        <v>2307.99</v>
      </c>
      <c r="D8" s="6">
        <v>3876.15</v>
      </c>
      <c r="E8" s="7">
        <f t="shared" si="0"/>
        <v>6184.139999999999</v>
      </c>
      <c r="F8" s="36"/>
      <c r="G8" s="36"/>
    </row>
    <row r="9" spans="1:7" ht="15.75">
      <c r="A9" s="55">
        <v>4</v>
      </c>
      <c r="B9" s="56" t="s">
        <v>9</v>
      </c>
      <c r="C9" s="6">
        <v>745.39</v>
      </c>
      <c r="D9" s="6">
        <v>3510.08</v>
      </c>
      <c r="E9" s="7">
        <f t="shared" si="0"/>
        <v>4255.47</v>
      </c>
      <c r="F9" s="36"/>
      <c r="G9" s="36"/>
    </row>
    <row r="10" spans="1:7" ht="15.75">
      <c r="A10" s="55">
        <v>5</v>
      </c>
      <c r="B10" s="56" t="s">
        <v>10</v>
      </c>
      <c r="C10" s="6">
        <v>6814.36</v>
      </c>
      <c r="D10" s="6">
        <v>9004.78</v>
      </c>
      <c r="E10" s="7">
        <f t="shared" si="0"/>
        <v>15819.14</v>
      </c>
      <c r="F10" s="36"/>
      <c r="G10" s="36"/>
    </row>
    <row r="11" spans="1:7" ht="15.75">
      <c r="A11" s="55">
        <v>6</v>
      </c>
      <c r="B11" s="56" t="s">
        <v>11</v>
      </c>
      <c r="C11" s="6">
        <f>16420.31+9229.61+11491.28</f>
        <v>37141.200000000004</v>
      </c>
      <c r="D11" s="6">
        <f>36999.65+12346.18+22601.54</f>
        <v>71947.37</v>
      </c>
      <c r="E11" s="7">
        <f t="shared" si="0"/>
        <v>109088.57</v>
      </c>
      <c r="F11" s="36"/>
      <c r="G11" s="36"/>
    </row>
    <row r="12" spans="1:7" ht="15.75">
      <c r="A12" s="55">
        <v>7</v>
      </c>
      <c r="B12" s="56" t="s">
        <v>59</v>
      </c>
      <c r="C12" s="6">
        <f>1497.4+3563.47+482.14+3432.1+3558.52+336.87+1943.12</f>
        <v>14813.620000000003</v>
      </c>
      <c r="D12" s="6">
        <f>4024.27+9341.99+935.08+5173.32+7277.73+658.36+2774.46</f>
        <v>30185.21</v>
      </c>
      <c r="E12" s="7">
        <f t="shared" si="0"/>
        <v>44998.83</v>
      </c>
      <c r="F12" s="36"/>
      <c r="G12" s="36"/>
    </row>
    <row r="13" spans="1:7" ht="15.75">
      <c r="A13" s="55">
        <v>8</v>
      </c>
      <c r="B13" s="56" t="s">
        <v>12</v>
      </c>
      <c r="C13" s="6">
        <v>31005.93</v>
      </c>
      <c r="D13" s="6">
        <v>62684.71</v>
      </c>
      <c r="E13" s="7">
        <f t="shared" si="0"/>
        <v>93690.64</v>
      </c>
      <c r="F13" s="36"/>
      <c r="G13" s="36"/>
    </row>
    <row r="14" spans="1:7" ht="15.75">
      <c r="A14" s="55">
        <v>9</v>
      </c>
      <c r="B14" s="56" t="s">
        <v>13</v>
      </c>
      <c r="C14" s="6">
        <f>14914.89+2223.42</f>
        <v>17138.309999999998</v>
      </c>
      <c r="D14" s="6">
        <f>25878.01+6308.41</f>
        <v>32186.42</v>
      </c>
      <c r="E14" s="7">
        <f t="shared" si="0"/>
        <v>49324.729999999996</v>
      </c>
      <c r="F14" s="36"/>
      <c r="G14" s="36"/>
    </row>
    <row r="15" spans="1:7" ht="15.75">
      <c r="A15" s="55">
        <v>10</v>
      </c>
      <c r="B15" s="56" t="s">
        <v>14</v>
      </c>
      <c r="C15" s="6">
        <f>5592.32+1898.86+7216.29</f>
        <v>14707.47</v>
      </c>
      <c r="D15" s="6">
        <f>10649.18+3898.23+11198</f>
        <v>25745.41</v>
      </c>
      <c r="E15" s="7">
        <f t="shared" si="0"/>
        <v>40452.88</v>
      </c>
      <c r="F15" s="36"/>
      <c r="G15" s="36"/>
    </row>
    <row r="16" spans="1:7" ht="15.75">
      <c r="A16" s="55">
        <v>11</v>
      </c>
      <c r="B16" s="56" t="s">
        <v>15</v>
      </c>
      <c r="C16" s="6">
        <v>14092.07</v>
      </c>
      <c r="D16" s="6">
        <v>27718.11</v>
      </c>
      <c r="E16" s="7">
        <f t="shared" si="0"/>
        <v>41810.18</v>
      </c>
      <c r="F16" s="36"/>
      <c r="G16" s="36"/>
    </row>
    <row r="17" spans="1:7" ht="15.75">
      <c r="A17" s="55">
        <v>12</v>
      </c>
      <c r="B17" s="56" t="s">
        <v>16</v>
      </c>
      <c r="C17" s="6">
        <v>807.19</v>
      </c>
      <c r="D17" s="6">
        <v>4747.06</v>
      </c>
      <c r="E17" s="7">
        <f t="shared" si="0"/>
        <v>5554.25</v>
      </c>
      <c r="F17" s="36"/>
      <c r="G17" s="36"/>
    </row>
    <row r="18" spans="1:7" ht="15.75">
      <c r="A18" s="55">
        <v>13</v>
      </c>
      <c r="B18" s="56" t="s">
        <v>17</v>
      </c>
      <c r="C18" s="6">
        <v>10486.2</v>
      </c>
      <c r="D18" s="6">
        <v>18277.81</v>
      </c>
      <c r="E18" s="7">
        <f t="shared" si="0"/>
        <v>28764.010000000002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5851.66</v>
      </c>
      <c r="D22" s="6">
        <v>13184.61</v>
      </c>
      <c r="E22" s="7">
        <f t="shared" si="0"/>
        <v>19036.27</v>
      </c>
      <c r="F22" s="36"/>
      <c r="G22" s="36"/>
    </row>
    <row r="23" spans="1:7" ht="15.75">
      <c r="A23" s="55">
        <v>18</v>
      </c>
      <c r="B23" s="56" t="s">
        <v>22</v>
      </c>
      <c r="C23" s="6">
        <f>4919.62+6065.8+1575.61</f>
        <v>12561.03</v>
      </c>
      <c r="D23" s="6">
        <f>9049.13+11177.7+660.82</f>
        <v>20887.65</v>
      </c>
      <c r="E23" s="7">
        <f t="shared" si="0"/>
        <v>33448.68</v>
      </c>
      <c r="F23" s="36"/>
      <c r="G23" s="36"/>
    </row>
    <row r="24" spans="1:7" ht="15.75">
      <c r="A24" s="55">
        <v>19</v>
      </c>
      <c r="B24" s="56" t="s">
        <v>23</v>
      </c>
      <c r="C24" s="6">
        <v>221.26</v>
      </c>
      <c r="D24" s="6">
        <v>1196.62</v>
      </c>
      <c r="E24" s="7">
        <f t="shared" si="0"/>
        <v>1417.8799999999999</v>
      </c>
      <c r="F24" s="36"/>
      <c r="G24" s="36"/>
    </row>
    <row r="25" spans="1:7" ht="15.75">
      <c r="A25" s="55">
        <v>20</v>
      </c>
      <c r="B25" s="56" t="s">
        <v>24</v>
      </c>
      <c r="C25" s="6">
        <f>35.64+247.44</f>
        <v>283.08</v>
      </c>
      <c r="D25" s="6">
        <f>1196.62+863.28</f>
        <v>2059.8999999999996</v>
      </c>
      <c r="E25" s="7">
        <f t="shared" si="0"/>
        <v>2342.9799999999996</v>
      </c>
      <c r="F25" s="36"/>
      <c r="G25" s="36"/>
    </row>
    <row r="26" spans="1:7" ht="15.75">
      <c r="A26" s="55">
        <v>21</v>
      </c>
      <c r="B26" s="56" t="s">
        <v>25</v>
      </c>
      <c r="C26" s="6">
        <f>2449.29+2809.89+53.46</f>
        <v>5312.64</v>
      </c>
      <c r="D26" s="6">
        <f>6463.58+6068.78+420.78</f>
        <v>12953.140000000001</v>
      </c>
      <c r="E26" s="7">
        <f t="shared" si="0"/>
        <v>18265.780000000002</v>
      </c>
      <c r="F26" s="36"/>
      <c r="G26" s="36"/>
    </row>
    <row r="27" spans="1:7" ht="15.75">
      <c r="A27" s="55">
        <v>22</v>
      </c>
      <c r="B27" s="56" t="s">
        <v>26</v>
      </c>
      <c r="C27" s="6">
        <v>6744.99</v>
      </c>
      <c r="D27" s="6">
        <v>11625.7</v>
      </c>
      <c r="E27" s="7">
        <f t="shared" si="0"/>
        <v>18370.690000000002</v>
      </c>
      <c r="F27" s="36"/>
      <c r="G27" s="36"/>
    </row>
    <row r="28" spans="1:7" ht="15.75">
      <c r="A28" s="55">
        <v>23</v>
      </c>
      <c r="B28" s="56" t="s">
        <v>27</v>
      </c>
      <c r="C28" s="6">
        <v>5597.38</v>
      </c>
      <c r="D28" s="6">
        <v>8015.07</v>
      </c>
      <c r="E28" s="7">
        <f t="shared" si="0"/>
        <v>13612.45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1395.77+5297.35+2054.88</f>
        <v>8748</v>
      </c>
      <c r="D30" s="6">
        <f>3453.89+8432.07+3452.76</f>
        <v>15338.72</v>
      </c>
      <c r="E30" s="7">
        <f t="shared" si="0"/>
        <v>24086.72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/>
      <c r="D32" s="6"/>
      <c r="E32" s="7">
        <f t="shared" si="0"/>
        <v>0</v>
      </c>
      <c r="F32" s="36"/>
      <c r="G32" s="36"/>
    </row>
    <row r="33" spans="1:7" ht="15.75">
      <c r="A33" s="55">
        <v>28</v>
      </c>
      <c r="B33" s="56" t="s">
        <v>41</v>
      </c>
      <c r="C33" s="6">
        <f>2773.38+958.12+584.32+221.26</f>
        <v>4537.08</v>
      </c>
      <c r="D33" s="6">
        <f>5026.21+2359.18+2848.87+140.24</f>
        <v>10374.499999999998</v>
      </c>
      <c r="E33" s="7">
        <f t="shared" si="0"/>
        <v>14911.579999999998</v>
      </c>
      <c r="F33" s="36"/>
      <c r="G33" s="36"/>
    </row>
    <row r="34" spans="1:7" ht="15.75">
      <c r="A34" s="55">
        <v>29</v>
      </c>
      <c r="B34" s="56" t="s">
        <v>42</v>
      </c>
      <c r="C34" s="6">
        <v>12431.37</v>
      </c>
      <c r="D34" s="6">
        <v>27654.66</v>
      </c>
      <c r="E34" s="7">
        <f t="shared" si="0"/>
        <v>40086.03</v>
      </c>
      <c r="F34" s="36"/>
      <c r="G34" s="36"/>
    </row>
    <row r="35" spans="1:7" ht="15.75">
      <c r="A35" s="55">
        <v>30</v>
      </c>
      <c r="B35" s="56" t="s">
        <v>44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3567.19</v>
      </c>
      <c r="D39" s="6">
        <v>4273.43</v>
      </c>
      <c r="E39" s="7">
        <f t="shared" si="0"/>
        <v>7840.620000000001</v>
      </c>
      <c r="F39" s="36"/>
      <c r="G39" s="36"/>
    </row>
    <row r="40" spans="1:7" ht="15.75">
      <c r="A40" s="55">
        <v>35</v>
      </c>
      <c r="B40" s="56" t="s">
        <v>71</v>
      </c>
      <c r="C40" s="6"/>
      <c r="D40" s="6"/>
      <c r="E40" s="7">
        <f t="shared" si="0"/>
        <v>0</v>
      </c>
      <c r="F40" s="36"/>
      <c r="G40" s="36"/>
    </row>
    <row r="41" spans="1:7" ht="15.75">
      <c r="A41" s="57"/>
      <c r="B41" s="57" t="s">
        <v>31</v>
      </c>
      <c r="C41" s="6">
        <f>SUM(C6:C40)</f>
        <v>255676.58000000002</v>
      </c>
      <c r="D41" s="6">
        <f>SUM(D6:D40)</f>
        <v>483542.18999999994</v>
      </c>
      <c r="E41" s="7">
        <f>SUM(E6:E40)</f>
        <v>739218.77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L37" sqref="L37:L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1" t="s">
        <v>86</v>
      </c>
      <c r="B3" s="81"/>
      <c r="C3" s="81"/>
      <c r="D3" s="81"/>
      <c r="E3" s="81"/>
      <c r="F3" s="81"/>
    </row>
    <row r="4" spans="1:6" ht="15">
      <c r="A4" s="84"/>
      <c r="B4" s="84"/>
      <c r="C4" s="84"/>
      <c r="D4" s="84"/>
      <c r="E4" s="84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6">
        <v>13440</v>
      </c>
      <c r="D6" s="66">
        <v>120</v>
      </c>
    </row>
    <row r="7" spans="1:4" ht="15.75">
      <c r="A7" s="55">
        <v>2</v>
      </c>
      <c r="B7" s="56" t="s">
        <v>7</v>
      </c>
      <c r="C7" s="66">
        <v>2640</v>
      </c>
      <c r="D7" s="66"/>
    </row>
    <row r="8" spans="1:4" ht="15.75">
      <c r="A8" s="55">
        <v>3</v>
      </c>
      <c r="B8" s="56" t="s">
        <v>8</v>
      </c>
      <c r="C8" s="66">
        <v>840</v>
      </c>
      <c r="D8" s="66"/>
    </row>
    <row r="9" spans="1:4" ht="15.75">
      <c r="A9" s="55">
        <v>4</v>
      </c>
      <c r="B9" s="56" t="s">
        <v>9</v>
      </c>
      <c r="C9" s="66">
        <v>600</v>
      </c>
      <c r="D9" s="66"/>
    </row>
    <row r="10" spans="1:4" ht="15.75">
      <c r="A10" s="55">
        <v>5</v>
      </c>
      <c r="B10" s="56" t="s">
        <v>10</v>
      </c>
      <c r="C10" s="66">
        <v>2400</v>
      </c>
      <c r="D10" s="66"/>
    </row>
    <row r="11" spans="1:4" ht="15.75">
      <c r="A11" s="55">
        <v>6</v>
      </c>
      <c r="B11" s="56" t="s">
        <v>11</v>
      </c>
      <c r="C11" s="66">
        <v>13320</v>
      </c>
      <c r="D11" s="66"/>
    </row>
    <row r="12" spans="1:4" ht="15.75">
      <c r="A12" s="55">
        <v>7</v>
      </c>
      <c r="B12" s="56" t="s">
        <v>59</v>
      </c>
      <c r="C12" s="66">
        <v>5280</v>
      </c>
      <c r="D12" s="66">
        <v>480</v>
      </c>
    </row>
    <row r="13" spans="1:4" ht="15.75">
      <c r="A13" s="55">
        <v>8</v>
      </c>
      <c r="B13" s="56" t="s">
        <v>12</v>
      </c>
      <c r="C13" s="66">
        <v>12360</v>
      </c>
      <c r="D13" s="66">
        <v>3000</v>
      </c>
    </row>
    <row r="14" spans="1:4" ht="15.75">
      <c r="A14" s="55">
        <v>9</v>
      </c>
      <c r="B14" s="56" t="s">
        <v>13</v>
      </c>
      <c r="C14" s="66">
        <v>6600</v>
      </c>
      <c r="D14" s="66">
        <v>480</v>
      </c>
    </row>
    <row r="15" spans="1:4" ht="15.75">
      <c r="A15" s="55">
        <v>10</v>
      </c>
      <c r="B15" s="56" t="s">
        <v>14</v>
      </c>
      <c r="C15" s="66">
        <v>8760</v>
      </c>
      <c r="D15" s="66">
        <v>720</v>
      </c>
    </row>
    <row r="16" spans="1:4" ht="15.75">
      <c r="A16" s="55">
        <v>11</v>
      </c>
      <c r="B16" s="56" t="s">
        <v>15</v>
      </c>
      <c r="C16" s="66">
        <v>5520</v>
      </c>
      <c r="D16" s="66">
        <v>600</v>
      </c>
    </row>
    <row r="17" spans="1:4" ht="15.75">
      <c r="A17" s="55">
        <v>12</v>
      </c>
      <c r="B17" s="56" t="s">
        <v>16</v>
      </c>
      <c r="C17" s="66">
        <v>1200</v>
      </c>
      <c r="D17" s="66"/>
    </row>
    <row r="18" spans="1:4" ht="15.75">
      <c r="A18" s="55">
        <v>13</v>
      </c>
      <c r="B18" s="56" t="s">
        <v>17</v>
      </c>
      <c r="C18" s="66">
        <v>6000</v>
      </c>
      <c r="D18" s="66">
        <v>120</v>
      </c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>
        <v>3720</v>
      </c>
      <c r="D22" s="66">
        <v>480</v>
      </c>
    </row>
    <row r="23" spans="1:4" ht="15.75">
      <c r="A23" s="55">
        <v>18</v>
      </c>
      <c r="B23" s="56" t="s">
        <v>22</v>
      </c>
      <c r="C23" s="66">
        <v>3840</v>
      </c>
      <c r="D23" s="66">
        <v>600</v>
      </c>
    </row>
    <row r="24" spans="1:4" ht="15.75">
      <c r="A24" s="55">
        <v>19</v>
      </c>
      <c r="B24" s="56" t="s">
        <v>23</v>
      </c>
      <c r="C24" s="66">
        <v>240</v>
      </c>
      <c r="D24" s="66"/>
    </row>
    <row r="25" spans="1:4" ht="15.75">
      <c r="A25" s="55">
        <v>20</v>
      </c>
      <c r="B25" s="56" t="s">
        <v>24</v>
      </c>
      <c r="C25" s="66">
        <v>360</v>
      </c>
      <c r="D25" s="66"/>
    </row>
    <row r="26" spans="1:4" ht="15.75">
      <c r="A26" s="55">
        <v>21</v>
      </c>
      <c r="B26" s="56" t="s">
        <v>25</v>
      </c>
      <c r="C26" s="66">
        <v>3120</v>
      </c>
      <c r="D26" s="66">
        <v>960</v>
      </c>
    </row>
    <row r="27" spans="1:4" ht="15.75">
      <c r="A27" s="55">
        <v>22</v>
      </c>
      <c r="B27" s="56" t="s">
        <v>26</v>
      </c>
      <c r="C27" s="66">
        <v>3240</v>
      </c>
      <c r="D27" s="66">
        <v>480</v>
      </c>
    </row>
    <row r="28" spans="1:4" ht="15.75">
      <c r="A28" s="55">
        <v>23</v>
      </c>
      <c r="B28" s="56" t="s">
        <v>27</v>
      </c>
      <c r="C28" s="66">
        <v>1680</v>
      </c>
      <c r="D28" s="66">
        <v>480</v>
      </c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>
        <v>6000</v>
      </c>
      <c r="D30" s="66"/>
    </row>
    <row r="31" spans="1:4" ht="15.75">
      <c r="A31" s="55">
        <v>26</v>
      </c>
      <c r="B31" s="56" t="s">
        <v>30</v>
      </c>
      <c r="C31" s="66">
        <v>120</v>
      </c>
      <c r="D31" s="66"/>
    </row>
    <row r="32" spans="1:4" ht="15.75">
      <c r="A32" s="55">
        <v>27</v>
      </c>
      <c r="B32" s="56" t="s">
        <v>40</v>
      </c>
      <c r="C32" s="66"/>
      <c r="D32" s="66"/>
    </row>
    <row r="33" spans="1:4" ht="15.75">
      <c r="A33" s="55">
        <v>28</v>
      </c>
      <c r="B33" s="56" t="s">
        <v>41</v>
      </c>
      <c r="C33" s="66">
        <v>3480</v>
      </c>
      <c r="D33" s="66">
        <v>960</v>
      </c>
    </row>
    <row r="34" spans="1:4" ht="15.75">
      <c r="A34" s="55">
        <v>29</v>
      </c>
      <c r="B34" s="56" t="s">
        <v>42</v>
      </c>
      <c r="C34" s="66">
        <v>4560</v>
      </c>
      <c r="D34" s="66"/>
    </row>
    <row r="35" spans="1:4" ht="15.75">
      <c r="A35" s="55">
        <v>30</v>
      </c>
      <c r="B35" s="56" t="s">
        <v>44</v>
      </c>
      <c r="C35" s="66"/>
      <c r="D35" s="66">
        <v>480</v>
      </c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>
        <v>480</v>
      </c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109800</v>
      </c>
      <c r="D41" s="67">
        <f>SUM(D6:D40)</f>
        <v>9960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 topLeftCell="A1">
      <selection activeCell="S18" sqref="S18:S1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89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6">
        <v>35098.51</v>
      </c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16638.9</v>
      </c>
    </row>
    <row r="12" spans="1:3" ht="15.75">
      <c r="A12" s="55">
        <v>7</v>
      </c>
      <c r="B12" s="56" t="s">
        <v>59</v>
      </c>
      <c r="C12" s="66">
        <v>65461.96</v>
      </c>
    </row>
    <row r="13" spans="1:3" ht="15.75">
      <c r="A13" s="55">
        <v>8</v>
      </c>
      <c r="B13" s="56" t="s">
        <v>12</v>
      </c>
      <c r="C13" s="66">
        <v>93337.16</v>
      </c>
    </row>
    <row r="14" spans="1:3" ht="15.75">
      <c r="A14" s="55">
        <v>9</v>
      </c>
      <c r="B14" s="56" t="s">
        <v>13</v>
      </c>
      <c r="C14" s="66">
        <v>26852.66</v>
      </c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>
        <v>72649.93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>
        <v>13426.33</v>
      </c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323465.45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U10" sqref="U1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5" t="s">
        <v>87</v>
      </c>
      <c r="B3" s="85"/>
      <c r="C3" s="85"/>
      <c r="D3" s="85"/>
      <c r="E3" s="85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82127.52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6">
        <v>178.14</v>
      </c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>
        <v>916.74</v>
      </c>
    </row>
    <row r="11" spans="1:3" ht="15.75">
      <c r="A11" s="55">
        <v>6</v>
      </c>
      <c r="B11" s="56" t="s">
        <v>11</v>
      </c>
      <c r="C11" s="66">
        <v>2416.15</v>
      </c>
    </row>
    <row r="12" spans="1:3" ht="15.75">
      <c r="A12" s="55">
        <v>7</v>
      </c>
      <c r="B12" s="56" t="s">
        <v>59</v>
      </c>
      <c r="C12" s="66">
        <v>727.3</v>
      </c>
    </row>
    <row r="13" spans="1:3" ht="15.75">
      <c r="A13" s="55">
        <v>8</v>
      </c>
      <c r="B13" s="56" t="s">
        <v>12</v>
      </c>
      <c r="C13" s="66">
        <v>141269.13</v>
      </c>
    </row>
    <row r="14" spans="1:3" ht="15.75">
      <c r="A14" s="55">
        <v>9</v>
      </c>
      <c r="B14" s="56" t="s">
        <v>13</v>
      </c>
      <c r="C14" s="66">
        <v>337.64</v>
      </c>
    </row>
    <row r="15" spans="1:3" ht="15.75">
      <c r="A15" s="55">
        <v>10</v>
      </c>
      <c r="B15" s="56" t="s">
        <v>14</v>
      </c>
      <c r="C15" s="66">
        <v>17086.48</v>
      </c>
    </row>
    <row r="16" spans="1:3" ht="15.75">
      <c r="A16" s="55">
        <v>11</v>
      </c>
      <c r="B16" s="56" t="s">
        <v>15</v>
      </c>
      <c r="C16" s="66">
        <v>1469.01</v>
      </c>
    </row>
    <row r="17" spans="1:3" ht="15.75">
      <c r="A17" s="55">
        <v>12</v>
      </c>
      <c r="B17" s="56" t="s">
        <v>16</v>
      </c>
      <c r="C17" s="66">
        <v>632.02</v>
      </c>
    </row>
    <row r="18" spans="1:3" ht="15.75">
      <c r="A18" s="55">
        <v>13</v>
      </c>
      <c r="B18" s="56" t="s">
        <v>17</v>
      </c>
      <c r="C18" s="66">
        <v>751.98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>
        <v>523.55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>
        <v>576.9</v>
      </c>
    </row>
    <row r="26" spans="1:3" ht="15.75">
      <c r="A26" s="55">
        <v>21</v>
      </c>
      <c r="B26" s="56" t="s">
        <v>25</v>
      </c>
      <c r="C26" s="66">
        <v>162825.63</v>
      </c>
    </row>
    <row r="27" spans="1:3" ht="15.75">
      <c r="A27" s="55">
        <v>22</v>
      </c>
      <c r="B27" s="56" t="s">
        <v>26</v>
      </c>
      <c r="C27" s="66">
        <v>1034.02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34850.51</v>
      </c>
    </row>
    <row r="31" spans="1:3" ht="15.75">
      <c r="A31" s="55">
        <v>26</v>
      </c>
      <c r="B31" s="56" t="s">
        <v>30</v>
      </c>
      <c r="C31" s="66">
        <v>14621.54</v>
      </c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>
        <v>163.97</v>
      </c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>
        <v>306</v>
      </c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>
        <v>1072.51</v>
      </c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463886.74000000005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2020-11-18T09:33:21Z</cp:lastPrinted>
  <dcterms:created xsi:type="dcterms:W3CDTF">2011-06-30T06:54:46Z</dcterms:created>
  <dcterms:modified xsi:type="dcterms:W3CDTF">2021-02-22T07:35:37Z</dcterms:modified>
  <cp:category/>
  <cp:version/>
  <cp:contentType/>
  <cp:contentStatus/>
</cp:coreProperties>
</file>